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8700" tabRatio="0" activeTab="0"/>
  </bookViews>
  <sheets>
    <sheet name="TDSheet" sheetId="1" r:id="rId1"/>
  </sheets>
  <externalReferences>
    <externalReference r:id="rId4"/>
  </externalReferences>
  <definedNames>
    <definedName name="_xlnm.Print_Area" localSheetId="0">'TDSheet'!$A$1:$S$392</definedName>
  </definedNames>
  <calcPr fullCalcOnLoad="1"/>
</workbook>
</file>

<file path=xl/sharedStrings.xml><?xml version="1.0" encoding="utf-8"?>
<sst xmlns="http://schemas.openxmlformats.org/spreadsheetml/2006/main" count="687" uniqueCount="188">
  <si>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</si>
  <si>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</si>
  <si>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</si>
  <si>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</si>
  <si>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</si>
  <si>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</si>
  <si>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</si>
  <si>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</si>
  <si>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</si>
  <si>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</si>
  <si>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</si>
  <si>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</si>
  <si>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</si>
  <si>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</si>
  <si>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</si>
  <si>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</si>
  <si>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</si>
  <si>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</si>
  <si>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</si>
  <si>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</si>
  <si>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</si>
  <si>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</si>
  <si>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</si>
  <si>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</si>
  <si>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</si>
  <si>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</si>
  <si>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</si>
  <si>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</si>
  <si>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</si>
  <si>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</si>
  <si>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</si>
  <si>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</si>
  <si>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</si>
  <si>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</si>
  <si>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</si>
  <si>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200/10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</si>
  <si>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</si>
  <si>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</si>
  <si>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</si>
  <si>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</si>
  <si>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</si>
  <si>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</si>
  <si>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</si>
  <si>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 xml:space="preserve">Молоко сгущенное порционно 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</si>
  <si>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</si>
  <si>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</si>
  <si>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Салат из свежей капусты с зеленью  "Молодость"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</si>
  <si>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</si>
  <si>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</si>
  <si>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</si>
  <si>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</si>
  <si>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 xml:space="preserve">Напиток из свежих фруктов </t>
  </si>
  <si>
    <t>200//10</t>
  </si>
  <si>
    <t xml:space="preserve">Компот из смеси сухофруктов     С- витаминизированный </t>
  </si>
  <si>
    <t>200//4</t>
  </si>
  <si>
    <t>Плов  с  птицей</t>
  </si>
  <si>
    <t xml:space="preserve">Рис отварной с маслом сливочным </t>
  </si>
  <si>
    <t>Кондитерские изделия (печенье)</t>
  </si>
  <si>
    <t xml:space="preserve">Жаркое по- домашнему </t>
  </si>
  <si>
    <t>150/20</t>
  </si>
  <si>
    <t>Кофейный напиток на молоке</t>
  </si>
  <si>
    <t>Каша геркулесовая молочная с маслом сливочным</t>
  </si>
  <si>
    <t>Хлеб пшеничный</t>
  </si>
  <si>
    <t>Салат из свеклы с маслом растительным</t>
  </si>
  <si>
    <t>Кондитерское изделие /Мармелад</t>
  </si>
  <si>
    <t>Суп-лапша домашняя с птицей отварной и свежей зеленью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</si>
  <si>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</si>
  <si>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</si>
  <si>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</si>
  <si>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</si>
  <si>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</si>
  <si>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</si>
  <si>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</si>
  <si>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Напиток из  яблок  витаминизированный</t>
  </si>
  <si>
    <t>Джем фруктовый с кусочками фруктов</t>
  </si>
  <si>
    <t>80/20</t>
  </si>
  <si>
    <t>Итого в день</t>
  </si>
  <si>
    <t>% от суточной нормы</t>
  </si>
  <si>
    <t>суточная норма</t>
  </si>
  <si>
    <t>Щи из свежей капусты с фрикаделькой из птицы "Детская"</t>
  </si>
  <si>
    <t>Чай  с сахаром</t>
  </si>
  <si>
    <t xml:space="preserve">Каша гречневая молочная с маслом сливочным </t>
  </si>
  <si>
    <t>Запеканка творожно-рисовая с маслом сливочным</t>
  </si>
  <si>
    <t>Каша "Дружба" с маслом сливочным</t>
  </si>
  <si>
    <t>Рыба, запеченная с овощами и сыром</t>
  </si>
  <si>
    <t>осенне-весенний</t>
  </si>
  <si>
    <t>осенне- весенний</t>
  </si>
  <si>
    <t>Котлеты "Куриные"</t>
  </si>
  <si>
    <t xml:space="preserve">Пудинг творожно-пшенный с сахарной пудрой   </t>
  </si>
  <si>
    <t>Приложение 8 к СанПиН 2.3/2.4.3590-20</t>
  </si>
  <si>
    <t>ПР</t>
  </si>
  <si>
    <t>Салат из моркови с яблоком</t>
  </si>
  <si>
    <t>Кисломолочный напиток / Ряженка</t>
  </si>
  <si>
    <t>Печень тушеная в соусе</t>
  </si>
  <si>
    <t xml:space="preserve">Рыба, запеченная под соусом </t>
  </si>
  <si>
    <t>Капуста тушеная</t>
  </si>
  <si>
    <t xml:space="preserve">Птица, порционная  запеченая 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</si>
  <si>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</si>
  <si>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 xml:space="preserve">Компот из свежих яблок и лимона </t>
  </si>
  <si>
    <t>Оладьи с яблоками</t>
  </si>
  <si>
    <t xml:space="preserve">Суп картофельный с вермишелью на курином бульоне  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</si>
  <si>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</si>
  <si>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</si>
  <si>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</si>
  <si>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</si>
  <si>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</si>
  <si>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</si>
  <si>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</si>
  <si>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ПРИМЕЧАНИЕ: * замена на осенний период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</si>
  <si>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</si>
  <si>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</si>
  <si>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</si>
  <si>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Суп картофельный с горохом и фрикаделькой из птицы "Детские" (ГОСТ)</t>
  </si>
  <si>
    <t>Борщ "Сибирский" с фасолью</t>
  </si>
  <si>
    <t>Макаронные изделия отварные с маслом сливочным</t>
  </si>
  <si>
    <t>Кисломолочный напиток / Кефир</t>
  </si>
  <si>
    <t xml:space="preserve">Борщ со свежей капустой и картофелем с фрикаделькой из мяса "Детская" </t>
  </si>
  <si>
    <t>Зеленый горошек</t>
  </si>
  <si>
    <t>Салат из свеклы с сыром и маслом растительным</t>
  </si>
  <si>
    <t>200/30</t>
  </si>
  <si>
    <t>Котлета "Куриная"</t>
  </si>
  <si>
    <t xml:space="preserve">* 209/62 ОП </t>
  </si>
  <si>
    <t>20/40</t>
  </si>
  <si>
    <t>Яйцо отварное порционно / морковь тертая с р.м.</t>
  </si>
  <si>
    <t>Винегрет овощной</t>
  </si>
  <si>
    <t>Суп картофельный с рыбными фрикадельками</t>
  </si>
  <si>
    <t>№ рец. по сборнику</t>
  </si>
  <si>
    <t>* 29 ОП</t>
  </si>
  <si>
    <t>ПРИМЕЧАНИЕ  ** могут быть использованы нектары,морсы, напитки сокосодержащие (в т.ч. обогащенные)</t>
  </si>
  <si>
    <t>Сок фруктовый**</t>
  </si>
  <si>
    <t>Салат из белокачанной капусты с морковью</t>
  </si>
  <si>
    <t>Котлета "Говяжья Школьная" запеченная (в соответствии с ГОСТ Р 55366-2012)</t>
  </si>
  <si>
    <t>Салат "Витаминный" (капуста квашеная, зел. горошек)</t>
  </si>
  <si>
    <t>Рассольник "Ленинградский" на бульоне</t>
  </si>
  <si>
    <t>Палочки мясные "Детские" запеченые (в соответствии с ГОСТ Р 55366-2012)</t>
  </si>
  <si>
    <t>Тефтели "Детские" под овощным соусом (в соответствии с ГОСТ Р 55366-2012)</t>
  </si>
  <si>
    <t>Салат фруктовый с сахарной пудрой  (десерт)</t>
  </si>
  <si>
    <t>Кондитерское изделие Зефир</t>
  </si>
  <si>
    <t>Йогурт фруктовый</t>
  </si>
  <si>
    <t xml:space="preserve">Молоко кипяченое (по ГОСТ 32252-2013) </t>
  </si>
  <si>
    <t>Салат фруктовый с сахарной пудрой (десерт)</t>
  </si>
  <si>
    <t>Суп картофельный с клецками</t>
  </si>
  <si>
    <t xml:space="preserve">Какао с молоком </t>
  </si>
  <si>
    <t>* 49 ОП</t>
  </si>
  <si>
    <t>Оладьи "Домашние" со сгущенным молоком</t>
  </si>
  <si>
    <t>Фасоль красная с растительным маслом</t>
  </si>
  <si>
    <t>Дополнительное питание</t>
  </si>
  <si>
    <t>Молоко в ИУ (3,2%)</t>
  </si>
  <si>
    <t>Холодная закуска: Овощи порционно / Огурец (по сезону)</t>
  </si>
  <si>
    <t>Плюшка "Оскольская"</t>
  </si>
  <si>
    <t>Булка "Колобок" (с изюмом)</t>
  </si>
  <si>
    <t>297 / 326</t>
  </si>
  <si>
    <t>Фрикадельки из мяса птицы с соусом молочным (в соответствии с ГОСТ Р 55790-2013)</t>
  </si>
  <si>
    <t>70/20</t>
  </si>
  <si>
    <t>Рагу из свинины</t>
  </si>
  <si>
    <t>Холодная закуска: Овощи порционно /  Помидор (по сезону)</t>
  </si>
  <si>
    <t>Сдоба "Грайворонская" (повидло)</t>
  </si>
  <si>
    <t>Кисель фруктовый</t>
  </si>
  <si>
    <t>Салат из капусты с огурцом соленым</t>
  </si>
  <si>
    <t xml:space="preserve">* ОП 70 </t>
  </si>
  <si>
    <t>Холодная закуска: Овощи соленые порционно/ Огурец</t>
  </si>
  <si>
    <t>Холодная закуска: Овощи порционно /  Огурец</t>
  </si>
  <si>
    <t>Зразы рыбные рубленные с яйцом (открытые)</t>
  </si>
  <si>
    <t>Холодная закуска: Овощи порционно / Помидор (по сезону)</t>
  </si>
  <si>
    <t xml:space="preserve">ПР </t>
  </si>
  <si>
    <t>Сдоба "Весенняя"</t>
  </si>
  <si>
    <t>* ОП 131</t>
  </si>
  <si>
    <t>Фрукт порционно / Банан 1шт ***</t>
  </si>
  <si>
    <t>Фрукт порционно / Яблоко 1шт***</t>
  </si>
  <si>
    <t>Фрукт порционно / Апельсин 1шт***</t>
  </si>
  <si>
    <t>* ОП 198</t>
  </si>
  <si>
    <t>ПРИМЕЧАНИЕ  *** - масса порции может варьироваться в зависимости от веса целого плода</t>
  </si>
  <si>
    <t xml:space="preserve">                         *** - масса порции может варьироваться в зависимости от веса целого плода</t>
  </si>
  <si>
    <t xml:space="preserve">СОГЛАСОВАНО:  </t>
  </si>
  <si>
    <r>
      <t xml:space="preserve">УТВЕРЖДАЮ: </t>
    </r>
    <r>
      <rPr>
        <sz val="11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                                                </t>
    </r>
  </si>
  <si>
    <t>Начальник территориального отдела</t>
  </si>
  <si>
    <t>Начальник управления образования</t>
  </si>
  <si>
    <t xml:space="preserve">Управления Федеральной службы по надзору </t>
  </si>
  <si>
    <t>администрации Грайворонского городского округа</t>
  </si>
  <si>
    <t>в сфере защиты прав потребителей и благополучия человека</t>
  </si>
  <si>
    <t>__________________ В.А. Безгодько</t>
  </si>
  <si>
    <t>по Белгородской области в Яковлевском районе</t>
  </si>
  <si>
    <t>"_________" _________________ 202___ года</t>
  </si>
  <si>
    <t>_________________ Б.Н. Сучалкин</t>
  </si>
  <si>
    <t>ПЕРСПЕКТИВНОЕ ДВУХНЕДЕЛЬНОЕ МЕНЮ</t>
  </si>
  <si>
    <t>на осенне-весенний периоды для питания обучающихся общеобразовательных учреждений,</t>
  </si>
  <si>
    <t>расположенных на территории Грайворонского городского округа</t>
  </si>
  <si>
    <t>(7-11 лет)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</si>
</sst>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2" fillId="33" borderId="11" xfId="0" applyNumberFormat="1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49" fontId="0" fillId="33" borderId="12" xfId="0" applyNumberFormat="1" applyFont="1" applyFill="1" applyBorder="1" applyAlignment="1">
      <alignment horizontal="center" vertical="top"/>
    </xf>
    <xf numFmtId="182" fontId="0" fillId="33" borderId="11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2" fillId="33" borderId="12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/>
    </xf>
    <xf numFmtId="193" fontId="2" fillId="33" borderId="12" xfId="0" applyNumberFormat="1" applyFont="1" applyFill="1" applyBorder="1" applyAlignment="1">
      <alignment horizontal="center" vertical="top"/>
    </xf>
    <xf numFmtId="9" fontId="2" fillId="33" borderId="12" xfId="0" applyNumberFormat="1" applyFont="1" applyFill="1" applyBorder="1" applyAlignment="1">
      <alignment horizontal="center" vertical="top"/>
    </xf>
    <xf numFmtId="9" fontId="2" fillId="33" borderId="10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 vertical="top"/>
    </xf>
    <xf numFmtId="182" fontId="2" fillId="33" borderId="11" xfId="0" applyNumberFormat="1" applyFont="1" applyFill="1" applyBorder="1" applyAlignment="1">
      <alignment horizontal="center" vertical="top"/>
    </xf>
    <xf numFmtId="182" fontId="2" fillId="33" borderId="10" xfId="0" applyNumberFormat="1" applyFont="1" applyFill="1" applyBorder="1" applyAlignment="1">
      <alignment horizontal="center" vertical="top"/>
    </xf>
    <xf numFmtId="1" fontId="2" fillId="33" borderId="12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193" fontId="2" fillId="33" borderId="10" xfId="0" applyNumberFormat="1" applyFont="1" applyFill="1" applyBorder="1" applyAlignment="1">
      <alignment horizontal="center" vertical="top"/>
    </xf>
    <xf numFmtId="193" fontId="2" fillId="33" borderId="11" xfId="0" applyNumberFormat="1" applyFont="1" applyFill="1" applyBorder="1" applyAlignment="1">
      <alignment horizontal="center" vertical="top"/>
    </xf>
    <xf numFmtId="182" fontId="0" fillId="33" borderId="10" xfId="0" applyNumberFormat="1" applyFont="1" applyFill="1" applyBorder="1" applyAlignment="1">
      <alignment horizontal="center" vertical="top"/>
    </xf>
    <xf numFmtId="182" fontId="0" fillId="33" borderId="0" xfId="60" applyNumberFormat="1" applyFont="1" applyFill="1">
      <alignment/>
      <protection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82" fontId="2" fillId="33" borderId="13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10" fontId="2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2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0" fontId="2" fillId="33" borderId="15" xfId="0" applyNumberFormat="1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center" vertical="center"/>
    </xf>
    <xf numFmtId="10" fontId="2" fillId="33" borderId="12" xfId="57" applyNumberFormat="1" applyFont="1" applyFill="1" applyBorder="1">
      <alignment/>
      <protection/>
    </xf>
    <xf numFmtId="193" fontId="2" fillId="33" borderId="12" xfId="57" applyNumberFormat="1" applyFont="1" applyFill="1" applyBorder="1">
      <alignment/>
      <protection/>
    </xf>
    <xf numFmtId="182" fontId="0" fillId="33" borderId="12" xfId="0" applyNumberFormat="1" applyFont="1" applyFill="1" applyBorder="1" applyAlignment="1">
      <alignment horizontal="center" vertical="center"/>
    </xf>
    <xf numFmtId="184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0" fontId="2" fillId="33" borderId="14" xfId="0" applyNumberFormat="1" applyFont="1" applyFill="1" applyBorder="1" applyAlignment="1">
      <alignment horizontal="left"/>
    </xf>
    <xf numFmtId="10" fontId="2" fillId="33" borderId="15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0" fontId="0" fillId="33" borderId="12" xfId="57" applyNumberFormat="1" applyFont="1" applyFill="1" applyBorder="1" applyAlignment="1">
      <alignment horizontal="center"/>
      <protection/>
    </xf>
    <xf numFmtId="182" fontId="0" fillId="33" borderId="12" xfId="57" applyNumberFormat="1" applyFont="1" applyFill="1" applyBorder="1" applyAlignment="1">
      <alignment horizontal="center"/>
      <protection/>
    </xf>
    <xf numFmtId="2" fontId="0" fillId="33" borderId="12" xfId="57" applyNumberFormat="1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0" fontId="2" fillId="33" borderId="12" xfId="57" applyNumberFormat="1" applyFont="1" applyFill="1" applyBorder="1" applyAlignment="1">
      <alignment horizontal="center"/>
      <protection/>
    </xf>
    <xf numFmtId="193" fontId="2" fillId="33" borderId="12" xfId="57" applyNumberFormat="1" applyFont="1" applyFill="1" applyBorder="1" applyAlignment="1">
      <alignment horizontal="center"/>
      <protection/>
    </xf>
    <xf numFmtId="1" fontId="2" fillId="33" borderId="12" xfId="0" applyNumberFormat="1" applyFont="1" applyFill="1" applyBorder="1" applyAlignment="1">
      <alignment horizontal="center"/>
    </xf>
    <xf numFmtId="10" fontId="2" fillId="33" borderId="14" xfId="0" applyNumberFormat="1" applyFont="1" applyFill="1" applyBorder="1" applyAlignment="1">
      <alignment horizontal="left"/>
    </xf>
    <xf numFmtId="10" fontId="2" fillId="33" borderId="15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10" fontId="2" fillId="33" borderId="0" xfId="57" applyNumberFormat="1" applyFont="1" applyFill="1" applyAlignment="1">
      <alignment horizontal="center"/>
      <protection/>
    </xf>
    <xf numFmtId="2" fontId="2" fillId="33" borderId="12" xfId="57" applyNumberFormat="1" applyFont="1" applyFill="1" applyBorder="1" applyAlignment="1">
      <alignment horizontal="center"/>
      <protection/>
    </xf>
    <xf numFmtId="193" fontId="2" fillId="33" borderId="13" xfId="57" applyNumberFormat="1" applyFont="1" applyFill="1" applyBorder="1" applyAlignment="1">
      <alignment horizontal="center"/>
      <protection/>
    </xf>
    <xf numFmtId="1" fontId="2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182" fontId="2" fillId="33" borderId="12" xfId="0" applyNumberFormat="1" applyFont="1" applyFill="1" applyBorder="1" applyAlignment="1">
      <alignment horizontal="center" vertical="center"/>
    </xf>
    <xf numFmtId="184" fontId="2" fillId="33" borderId="12" xfId="0" applyNumberFormat="1" applyFont="1" applyFill="1" applyBorder="1" applyAlignment="1">
      <alignment horizontal="center" vertical="center"/>
    </xf>
    <xf numFmtId="182" fontId="2" fillId="33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82" fontId="5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indent="1"/>
    </xf>
    <xf numFmtId="2" fontId="5" fillId="34" borderId="12" xfId="0" applyNumberFormat="1" applyFont="1" applyFill="1" applyBorder="1" applyAlignment="1">
      <alignment horizontal="center" vertical="top"/>
    </xf>
    <xf numFmtId="184" fontId="5" fillId="34" borderId="12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top"/>
    </xf>
    <xf numFmtId="182" fontId="5" fillId="34" borderId="12" xfId="0" applyNumberFormat="1" applyFont="1" applyFill="1" applyBorder="1" applyAlignment="1">
      <alignment horizontal="center" vertical="top"/>
    </xf>
    <xf numFmtId="1" fontId="5" fillId="34" borderId="12" xfId="0" applyNumberFormat="1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top"/>
    </xf>
    <xf numFmtId="10" fontId="2" fillId="33" borderId="14" xfId="0" applyNumberFormat="1" applyFont="1" applyFill="1" applyBorder="1" applyAlignment="1">
      <alignment horizontal="left"/>
    </xf>
    <xf numFmtId="10" fontId="2" fillId="33" borderId="15" xfId="0" applyNumberFormat="1" applyFont="1" applyFill="1" applyBorder="1" applyAlignment="1">
      <alignment horizontal="left"/>
    </xf>
    <xf numFmtId="0" fontId="0" fillId="33" borderId="0" xfId="0" applyNumberFormat="1" applyFont="1" applyFill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0" xfId="0" applyNumberFormat="1" applyFont="1" applyFill="1" applyAlignment="1">
      <alignment horizontal="right"/>
    </xf>
    <xf numFmtId="1" fontId="0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2" fontId="0" fillId="33" borderId="12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182" fontId="5" fillId="34" borderId="12" xfId="0" applyNumberFormat="1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center" vertical="top"/>
    </xf>
    <xf numFmtId="193" fontId="2" fillId="33" borderId="0" xfId="0" applyNumberFormat="1" applyFont="1" applyFill="1" applyBorder="1" applyAlignment="1">
      <alignment horizontal="center" vertical="top"/>
    </xf>
    <xf numFmtId="9" fontId="2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/>
    </xf>
    <xf numFmtId="10" fontId="0" fillId="33" borderId="0" xfId="0" applyNumberFormat="1" applyFont="1" applyFill="1" applyBorder="1" applyAlignment="1">
      <alignment horizontal="center" vertical="top"/>
    </xf>
    <xf numFmtId="193" fontId="0" fillId="33" borderId="0" xfId="57" applyNumberFormat="1" applyFont="1" applyFill="1" applyBorder="1" applyAlignment="1">
      <alignment horizontal="center"/>
      <protection/>
    </xf>
    <xf numFmtId="193" fontId="0" fillId="33" borderId="0" xfId="0" applyNumberFormat="1" applyFont="1" applyFill="1" applyBorder="1" applyAlignment="1">
      <alignment horizontal="center" vertical="top"/>
    </xf>
    <xf numFmtId="10" fontId="2" fillId="33" borderId="0" xfId="0" applyNumberFormat="1" applyFont="1" applyFill="1" applyBorder="1" applyAlignment="1">
      <alignment horizontal="left"/>
    </xf>
    <xf numFmtId="10" fontId="0" fillId="33" borderId="0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vertical="top" wrapText="1"/>
    </xf>
    <xf numFmtId="0" fontId="10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left" indent="1"/>
    </xf>
    <xf numFmtId="2" fontId="2" fillId="33" borderId="15" xfId="0" applyNumberFormat="1" applyFont="1" applyFill="1" applyBorder="1" applyAlignment="1">
      <alignment horizontal="left" indent="1"/>
    </xf>
    <xf numFmtId="2" fontId="2" fillId="33" borderId="16" xfId="0" applyNumberFormat="1" applyFont="1" applyFill="1" applyBorder="1" applyAlignment="1">
      <alignment horizontal="left" indent="1"/>
    </xf>
    <xf numFmtId="0" fontId="2" fillId="33" borderId="14" xfId="0" applyFont="1" applyFill="1" applyBorder="1" applyAlignment="1">
      <alignment horizontal="left" indent="1"/>
    </xf>
    <xf numFmtId="0" fontId="2" fillId="33" borderId="15" xfId="0" applyFont="1" applyFill="1" applyBorder="1" applyAlignment="1">
      <alignment horizontal="left" indent="1"/>
    </xf>
    <xf numFmtId="0" fontId="2" fillId="33" borderId="16" xfId="0" applyFont="1" applyFill="1" applyBorder="1" applyAlignment="1">
      <alignment horizontal="left" inden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vertical="center" wrapText="1"/>
    </xf>
    <xf numFmtId="0" fontId="0" fillId="33" borderId="16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horizontal="center"/>
    </xf>
    <xf numFmtId="2" fontId="0" fillId="33" borderId="12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center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top" wrapText="1"/>
    </xf>
    <xf numFmtId="0" fontId="2" fillId="33" borderId="22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center"/>
    </xf>
    <xf numFmtId="10" fontId="2" fillId="33" borderId="14" xfId="0" applyNumberFormat="1" applyFont="1" applyFill="1" applyBorder="1" applyAlignment="1">
      <alignment horizontal="left"/>
    </xf>
    <xf numFmtId="10" fontId="2" fillId="33" borderId="15" xfId="0" applyNumberFormat="1" applyFont="1" applyFill="1" applyBorder="1" applyAlignment="1">
      <alignment horizontal="left"/>
    </xf>
    <xf numFmtId="10" fontId="2" fillId="33" borderId="16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20" xfId="0" applyFont="1" applyFill="1" applyBorder="1" applyAlignment="1">
      <alignment horizontal="left" indent="1"/>
    </xf>
    <xf numFmtId="0" fontId="0" fillId="33" borderId="15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2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inden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33" borderId="17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wrapText="1"/>
    </xf>
    <xf numFmtId="10" fontId="2" fillId="33" borderId="18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left" vertical="center" wrapText="1"/>
    </xf>
    <xf numFmtId="0" fontId="30" fillId="33" borderId="0" xfId="0" applyNumberFormat="1" applyFont="1" applyFill="1" applyAlignment="1">
      <alignment horizontal="center"/>
    </xf>
    <xf numFmtId="0" fontId="30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&#1050;&#1086;&#1084;&#1087;&#1072;&#1085;&#1080;&#1103;%20&#1040;&#1051;&#1068;&#1058;&#1045;&#1056;&#1053;&#1040;&#1058;&#1048;&#1042;&#1040;%20(7-11)%20&#8212;%20&#1053;&#1072;&#1089;&#1090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8">
          <cell r="A308" t="str">
            <v>Итого за Завтрак мясной</v>
          </cell>
        </row>
        <row r="309">
          <cell r="A309" t="str">
            <v>Завтрак молочный</v>
          </cell>
        </row>
        <row r="314">
          <cell r="A314" t="str">
            <v>Итого за Завтрак молочный</v>
          </cell>
        </row>
        <row r="315">
          <cell r="A315" t="str">
            <v>Обед (полноценный рацион питания)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93"/>
  <sheetViews>
    <sheetView tabSelected="1" workbookViewId="0" topLeftCell="A7">
      <selection activeCell="A9" sqref="A9:S12"/>
    </sheetView>
  </sheetViews>
  <sheetFormatPr defaultColWidth="10.66015625" defaultRowHeight="11.25"/>
  <cols>
    <col min="1" max="1" width="9.5" style="61" customWidth="1"/>
    <col min="2" max="2" width="16.33203125" style="61" customWidth="1"/>
    <col min="3" max="3" width="25.16015625" style="61" customWidth="1"/>
    <col min="4" max="4" width="8" style="5" customWidth="1"/>
    <col min="5" max="5" width="9.83203125" style="101" customWidth="1"/>
    <col min="6" max="6" width="9.66015625" style="5" customWidth="1"/>
    <col min="7" max="7" width="8.5" style="5" customWidth="1"/>
    <col min="8" max="8" width="10" style="5" customWidth="1"/>
    <col min="9" max="9" width="9" style="5" customWidth="1"/>
    <col min="10" max="10" width="9.83203125" style="5" customWidth="1"/>
    <col min="11" max="11" width="8.83203125" style="5" customWidth="1"/>
    <col min="12" max="12" width="10.33203125" style="5" customWidth="1"/>
    <col min="13" max="13" width="9.5" style="5" customWidth="1"/>
    <col min="14" max="14" width="9.33203125" style="5" customWidth="1"/>
    <col min="15" max="16" width="9.16015625" style="5" customWidth="1"/>
    <col min="17" max="17" width="9" style="5" customWidth="1"/>
    <col min="18" max="18" width="9.5" style="5" customWidth="1"/>
    <col min="19" max="19" width="8.66015625" style="5" customWidth="1"/>
    <col min="20" max="20" width="9.16015625" style="18" customWidth="1"/>
    <col min="21" max="22" width="9.16015625" style="27" customWidth="1"/>
    <col min="23" max="23" width="11.66015625" style="27" customWidth="1"/>
  </cols>
  <sheetData>
    <row r="1" spans="1:18" ht="17.25" customHeight="1">
      <c r="A1" s="184" t="s">
        <v>173</v>
      </c>
      <c r="B1" s="185"/>
      <c r="C1" s="185"/>
      <c r="M1" s="190" t="s">
        <v>174</v>
      </c>
      <c r="N1" s="190"/>
      <c r="O1" s="186"/>
      <c r="P1" s="186"/>
      <c r="Q1" s="186"/>
      <c r="R1" s="186"/>
    </row>
    <row r="2" spans="1:13" ht="15">
      <c r="A2" s="187" t="s">
        <v>175</v>
      </c>
      <c r="B2" s="185"/>
      <c r="C2" s="185"/>
      <c r="M2" s="188" t="s">
        <v>176</v>
      </c>
    </row>
    <row r="3" spans="1:13" ht="15">
      <c r="A3" s="187" t="s">
        <v>177</v>
      </c>
      <c r="B3" s="185"/>
      <c r="C3" s="185"/>
      <c r="M3" s="188" t="s">
        <v>178</v>
      </c>
    </row>
    <row r="4" spans="1:17" ht="15">
      <c r="A4" s="187" t="s">
        <v>179</v>
      </c>
      <c r="B4" s="185"/>
      <c r="C4" s="185"/>
      <c r="M4" s="189" t="s">
        <v>180</v>
      </c>
      <c r="N4" s="189"/>
      <c r="O4" s="189"/>
      <c r="P4" s="189"/>
      <c r="Q4" s="189"/>
    </row>
    <row r="5" spans="1:18" ht="15">
      <c r="A5" s="187" t="s">
        <v>181</v>
      </c>
      <c r="B5" s="185"/>
      <c r="C5" s="185"/>
      <c r="M5" s="187" t="s">
        <v>182</v>
      </c>
      <c r="N5" s="185"/>
      <c r="O5" s="185"/>
      <c r="P5" s="188"/>
      <c r="Q5" s="188"/>
      <c r="R5" s="188"/>
    </row>
    <row r="6" spans="1:3" ht="15">
      <c r="A6" s="187" t="s">
        <v>183</v>
      </c>
      <c r="B6" s="185"/>
      <c r="C6" s="185"/>
    </row>
    <row r="7" spans="1:3" ht="15">
      <c r="A7" s="187" t="s">
        <v>182</v>
      </c>
      <c r="B7" s="185"/>
      <c r="C7" s="185"/>
    </row>
    <row r="8" spans="1:23" s="1" customFormat="1" ht="11.25" customHeight="1">
      <c r="A8" s="62"/>
      <c r="B8" s="59"/>
      <c r="C8" s="59"/>
      <c r="D8" s="75"/>
      <c r="E8" s="36"/>
      <c r="F8" s="75"/>
      <c r="G8" s="75"/>
      <c r="H8" s="75"/>
      <c r="I8" s="75"/>
      <c r="J8" s="75"/>
      <c r="K8" s="2"/>
      <c r="L8" s="223" t="s">
        <v>89</v>
      </c>
      <c r="M8" s="223"/>
      <c r="N8" s="223"/>
      <c r="O8" s="223"/>
      <c r="P8" s="223"/>
      <c r="Q8" s="223"/>
      <c r="R8" s="223"/>
      <c r="S8" s="223"/>
      <c r="T8" s="248"/>
      <c r="U8" s="246"/>
      <c r="V8" s="109"/>
      <c r="W8" s="246"/>
    </row>
    <row r="9" spans="1:23" s="1" customFormat="1" ht="15.75" customHeight="1">
      <c r="A9" s="259" t="s">
        <v>184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49"/>
      <c r="U9" s="246"/>
      <c r="V9" s="109"/>
      <c r="W9" s="246"/>
    </row>
    <row r="10" spans="1:23" s="1" customFormat="1" ht="15.75" customHeight="1">
      <c r="A10" s="259" t="s">
        <v>185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60"/>
      <c r="T10" s="249"/>
      <c r="U10" s="246"/>
      <c r="V10" s="183"/>
      <c r="W10" s="246"/>
    </row>
    <row r="11" spans="1:23" s="1" customFormat="1" ht="15.75" customHeight="1">
      <c r="A11" s="259" t="s">
        <v>186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60"/>
      <c r="T11" s="249"/>
      <c r="U11" s="246"/>
      <c r="V11" s="183"/>
      <c r="W11" s="246"/>
    </row>
    <row r="12" spans="1:23" s="1" customFormat="1" ht="15.75" customHeight="1">
      <c r="A12" s="259" t="s">
        <v>187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60"/>
      <c r="T12" s="249"/>
      <c r="U12" s="246"/>
      <c r="V12" s="183"/>
      <c r="W12" s="246"/>
    </row>
    <row r="13" spans="1:23" s="1" customFormat="1" ht="11.25" customHeight="1">
      <c r="A13" s="63" t="s">
        <v>66</v>
      </c>
      <c r="B13" s="59"/>
      <c r="C13" s="59"/>
      <c r="D13" s="2"/>
      <c r="E13" s="36"/>
      <c r="F13" s="224" t="s">
        <v>0</v>
      </c>
      <c r="G13" s="224"/>
      <c r="H13" s="224"/>
      <c r="I13" s="75"/>
      <c r="J13" s="75"/>
      <c r="K13" s="222" t="s">
        <v>1</v>
      </c>
      <c r="L13" s="222"/>
      <c r="M13" s="217" t="s">
        <v>85</v>
      </c>
      <c r="N13" s="217"/>
      <c r="O13" s="217"/>
      <c r="P13" s="217"/>
      <c r="Q13" s="75"/>
      <c r="R13" s="75"/>
      <c r="S13" s="75"/>
      <c r="T13" s="249"/>
      <c r="U13" s="246"/>
      <c r="V13" s="109"/>
      <c r="W13" s="246"/>
    </row>
    <row r="14" spans="1:23" s="1" customFormat="1" ht="11.25" customHeight="1">
      <c r="A14" s="59" t="s">
        <v>108</v>
      </c>
      <c r="B14" s="59"/>
      <c r="C14" s="59"/>
      <c r="D14" s="222" t="s">
        <v>2</v>
      </c>
      <c r="E14" s="222"/>
      <c r="F14" s="7">
        <v>1</v>
      </c>
      <c r="G14" s="75"/>
      <c r="H14" s="2"/>
      <c r="I14" s="2"/>
      <c r="J14" s="2"/>
      <c r="K14" s="222" t="s">
        <v>3</v>
      </c>
      <c r="L14" s="222"/>
      <c r="M14" s="261" t="s">
        <v>68</v>
      </c>
      <c r="N14" s="261"/>
      <c r="O14" s="261"/>
      <c r="P14" s="261"/>
      <c r="Q14" s="261"/>
      <c r="R14" s="261"/>
      <c r="S14" s="261"/>
      <c r="T14" s="250"/>
      <c r="U14" s="247"/>
      <c r="V14" s="109"/>
      <c r="W14" s="246"/>
    </row>
    <row r="15" spans="1:23" s="1" customFormat="1" ht="21.75" customHeight="1">
      <c r="A15" s="209" t="s">
        <v>126</v>
      </c>
      <c r="B15" s="209" t="s">
        <v>5</v>
      </c>
      <c r="C15" s="209"/>
      <c r="D15" s="209" t="s">
        <v>6</v>
      </c>
      <c r="E15" s="225" t="s">
        <v>7</v>
      </c>
      <c r="F15" s="225"/>
      <c r="G15" s="225"/>
      <c r="H15" s="209" t="s">
        <v>8</v>
      </c>
      <c r="I15" s="225" t="s">
        <v>9</v>
      </c>
      <c r="J15" s="225"/>
      <c r="K15" s="225"/>
      <c r="L15" s="225"/>
      <c r="M15" s="225"/>
      <c r="N15" s="225" t="s">
        <v>10</v>
      </c>
      <c r="O15" s="225"/>
      <c r="P15" s="225"/>
      <c r="Q15" s="225"/>
      <c r="R15" s="225"/>
      <c r="S15" s="225"/>
      <c r="T15" s="9"/>
      <c r="U15" s="22"/>
      <c r="V15" s="22"/>
      <c r="W15" s="22"/>
    </row>
    <row r="16" spans="1:23" s="1" customFormat="1" ht="29.25" customHeight="1">
      <c r="A16" s="210"/>
      <c r="B16" s="213"/>
      <c r="C16" s="214"/>
      <c r="D16" s="210"/>
      <c r="E16" s="96" t="s">
        <v>11</v>
      </c>
      <c r="F16" s="108" t="s">
        <v>12</v>
      </c>
      <c r="G16" s="108" t="s">
        <v>13</v>
      </c>
      <c r="H16" s="210"/>
      <c r="I16" s="108" t="s">
        <v>14</v>
      </c>
      <c r="J16" s="108" t="s">
        <v>69</v>
      </c>
      <c r="K16" s="108" t="s">
        <v>15</v>
      </c>
      <c r="L16" s="108" t="s">
        <v>16</v>
      </c>
      <c r="M16" s="108" t="s">
        <v>17</v>
      </c>
      <c r="N16" s="108" t="s">
        <v>18</v>
      </c>
      <c r="O16" s="108" t="s">
        <v>19</v>
      </c>
      <c r="P16" s="108" t="s">
        <v>70</v>
      </c>
      <c r="Q16" s="108" t="s">
        <v>71</v>
      </c>
      <c r="R16" s="108" t="s">
        <v>20</v>
      </c>
      <c r="S16" s="108" t="s">
        <v>21</v>
      </c>
      <c r="T16" s="9"/>
      <c r="U16" s="22"/>
      <c r="V16" s="22"/>
      <c r="W16" s="22"/>
    </row>
    <row r="17" spans="1:23" s="1" customFormat="1" ht="11.25" customHeight="1">
      <c r="A17" s="105">
        <v>1</v>
      </c>
      <c r="B17" s="235">
        <v>2</v>
      </c>
      <c r="C17" s="235"/>
      <c r="D17" s="39">
        <v>3</v>
      </c>
      <c r="E17" s="97">
        <v>4</v>
      </c>
      <c r="F17" s="39">
        <v>5</v>
      </c>
      <c r="G17" s="39">
        <v>6</v>
      </c>
      <c r="H17" s="39">
        <v>7</v>
      </c>
      <c r="I17" s="39">
        <v>8</v>
      </c>
      <c r="J17" s="39">
        <v>9</v>
      </c>
      <c r="K17" s="39">
        <v>10</v>
      </c>
      <c r="L17" s="39">
        <v>11</v>
      </c>
      <c r="M17" s="39">
        <v>12</v>
      </c>
      <c r="N17" s="39">
        <v>13</v>
      </c>
      <c r="O17" s="39">
        <v>14</v>
      </c>
      <c r="P17" s="39">
        <v>15</v>
      </c>
      <c r="Q17" s="39">
        <v>16</v>
      </c>
      <c r="R17" s="39">
        <v>17</v>
      </c>
      <c r="S17" s="39">
        <v>18</v>
      </c>
      <c r="T17" s="10"/>
      <c r="U17" s="23"/>
      <c r="V17" s="23"/>
      <c r="W17" s="23"/>
    </row>
    <row r="18" spans="1:23" s="1" customFormat="1" ht="11.25" customHeight="1">
      <c r="A18" s="243" t="s">
        <v>25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11"/>
      <c r="U18" s="24"/>
      <c r="V18" s="24"/>
      <c r="W18" s="24"/>
    </row>
    <row r="19" spans="1:23" s="3" customFormat="1" ht="11.25" customHeight="1">
      <c r="A19" s="113">
        <v>338</v>
      </c>
      <c r="B19" s="191" t="s">
        <v>168</v>
      </c>
      <c r="C19" s="191"/>
      <c r="D19" s="74">
        <v>100</v>
      </c>
      <c r="E19" s="76">
        <v>0.4</v>
      </c>
      <c r="F19" s="76">
        <v>0.4</v>
      </c>
      <c r="G19" s="76">
        <v>9.8</v>
      </c>
      <c r="H19" s="76">
        <f>E19*4+F19*9+G19*4</f>
        <v>44.400000000000006</v>
      </c>
      <c r="I19" s="76">
        <v>0.04</v>
      </c>
      <c r="J19" s="76">
        <v>0.02</v>
      </c>
      <c r="K19" s="74">
        <v>10</v>
      </c>
      <c r="L19" s="74">
        <v>0.02</v>
      </c>
      <c r="M19" s="76">
        <v>0.2</v>
      </c>
      <c r="N19" s="76">
        <v>16</v>
      </c>
      <c r="O19" s="76">
        <v>11</v>
      </c>
      <c r="P19" s="74">
        <v>0.03</v>
      </c>
      <c r="Q19" s="74">
        <v>0.002</v>
      </c>
      <c r="R19" s="76">
        <v>9</v>
      </c>
      <c r="S19" s="76">
        <v>2.2</v>
      </c>
      <c r="T19" s="78"/>
      <c r="U19" s="28"/>
      <c r="V19" s="28"/>
      <c r="W19" s="29"/>
    </row>
    <row r="20" spans="1:23" s="75" customFormat="1" ht="12" customHeight="1">
      <c r="A20" s="113">
        <v>15</v>
      </c>
      <c r="B20" s="192" t="s">
        <v>111</v>
      </c>
      <c r="C20" s="193"/>
      <c r="D20" s="74">
        <v>20</v>
      </c>
      <c r="E20" s="76">
        <f>2.32*D20/10</f>
        <v>4.64</v>
      </c>
      <c r="F20" s="76">
        <f>3.4*D20/10</f>
        <v>6.8</v>
      </c>
      <c r="G20" s="76">
        <f>0.01*D20/10</f>
        <v>0.02</v>
      </c>
      <c r="H20" s="76">
        <f>E20*4+F20*9+G20*4</f>
        <v>79.83999999999999</v>
      </c>
      <c r="I20" s="76">
        <f>0.004*D20/10</f>
        <v>0.008</v>
      </c>
      <c r="J20" s="76">
        <f>0.03*D20/10</f>
        <v>0.06</v>
      </c>
      <c r="K20" s="76">
        <f>0.07*D20/10</f>
        <v>0.14</v>
      </c>
      <c r="L20" s="77">
        <f>0.023*D20/10</f>
        <v>0.046</v>
      </c>
      <c r="M20" s="76">
        <f>0.05*D20/10</f>
        <v>0.1</v>
      </c>
      <c r="N20" s="76">
        <f>88*D20/10</f>
        <v>176</v>
      </c>
      <c r="O20" s="76">
        <f>50*D20/10</f>
        <v>100</v>
      </c>
      <c r="P20" s="76">
        <f>0.4*D20/10</f>
        <v>0.8</v>
      </c>
      <c r="Q20" s="77">
        <f>0.02*D20/10</f>
        <v>0.04</v>
      </c>
      <c r="R20" s="76">
        <f>3.5*D20/10</f>
        <v>7</v>
      </c>
      <c r="S20" s="76">
        <f>0.13*D20/10</f>
        <v>0.26</v>
      </c>
      <c r="T20" s="78"/>
      <c r="U20" s="28"/>
      <c r="V20" s="28"/>
      <c r="W20" s="29"/>
    </row>
    <row r="21" spans="1:23" s="3" customFormat="1" ht="21.75" customHeight="1">
      <c r="A21" s="105">
        <v>173</v>
      </c>
      <c r="B21" s="192" t="s">
        <v>61</v>
      </c>
      <c r="C21" s="193"/>
      <c r="D21" s="74">
        <v>200</v>
      </c>
      <c r="E21" s="76">
        <f>7.23*D21/200</f>
        <v>7.23</v>
      </c>
      <c r="F21" s="76">
        <f>9.81*D21/200</f>
        <v>9.81</v>
      </c>
      <c r="G21" s="76">
        <f>28.8*D21/200</f>
        <v>28.8</v>
      </c>
      <c r="H21" s="76">
        <f>E21*4+F21*9+G21*4</f>
        <v>232.41000000000003</v>
      </c>
      <c r="I21" s="76">
        <f>0.22*D21/200</f>
        <v>0.22</v>
      </c>
      <c r="J21" s="76">
        <f>0.2*D21/200</f>
        <v>0.2</v>
      </c>
      <c r="K21" s="76">
        <f>1.3*D21/200</f>
        <v>1.3</v>
      </c>
      <c r="L21" s="77">
        <f>0.08*D21/200</f>
        <v>0.08</v>
      </c>
      <c r="M21" s="72">
        <v>0</v>
      </c>
      <c r="N21" s="76">
        <f>142.58*D21/200</f>
        <v>142.58</v>
      </c>
      <c r="O21" s="76">
        <f>222.38*D21/200</f>
        <v>222.38</v>
      </c>
      <c r="P21" s="74">
        <v>0</v>
      </c>
      <c r="Q21" s="77">
        <f>0.001*D21/200</f>
        <v>0.001</v>
      </c>
      <c r="R21" s="76">
        <f>65.69*D21/200</f>
        <v>65.69</v>
      </c>
      <c r="S21" s="76">
        <f>1.53*D21/200</f>
        <v>1.53</v>
      </c>
      <c r="T21" s="78"/>
      <c r="U21" s="226" t="s">
        <v>104</v>
      </c>
      <c r="V21" s="226" t="s">
        <v>105</v>
      </c>
      <c r="W21" s="226" t="s">
        <v>106</v>
      </c>
    </row>
    <row r="22" spans="1:23" s="3" customFormat="1" ht="12.75" customHeight="1">
      <c r="A22" s="105">
        <v>382</v>
      </c>
      <c r="B22" s="192" t="s">
        <v>142</v>
      </c>
      <c r="C22" s="193"/>
      <c r="D22" s="74">
        <v>200</v>
      </c>
      <c r="E22" s="76">
        <f>3.5*D22/200</f>
        <v>3.5</v>
      </c>
      <c r="F22" s="76">
        <f>3.7*D22/200</f>
        <v>3.7</v>
      </c>
      <c r="G22" s="76">
        <f>25.5*D22/200</f>
        <v>25.5</v>
      </c>
      <c r="H22" s="76">
        <f>E22*4+F22*9+G22*4</f>
        <v>149.3</v>
      </c>
      <c r="I22" s="76">
        <f>0.06*D22/200</f>
        <v>0.06</v>
      </c>
      <c r="J22" s="76">
        <f>0.006*D22/200</f>
        <v>0.006</v>
      </c>
      <c r="K22" s="76">
        <f>1.6*D22/200</f>
        <v>1.6</v>
      </c>
      <c r="L22" s="77">
        <f>0.04*D22/200</f>
        <v>0.04</v>
      </c>
      <c r="M22" s="76">
        <f>0.4*D22/200</f>
        <v>0.4</v>
      </c>
      <c r="N22" s="76">
        <f>102.6*D22/200</f>
        <v>102.6</v>
      </c>
      <c r="O22" s="76">
        <f>178.4*D22/200</f>
        <v>178.4</v>
      </c>
      <c r="P22" s="76">
        <f>1*D22/200</f>
        <v>1</v>
      </c>
      <c r="Q22" s="77">
        <f>0.001*D22/200</f>
        <v>0.001</v>
      </c>
      <c r="R22" s="76">
        <f>24.8*D22/200</f>
        <v>24.8</v>
      </c>
      <c r="S22" s="76">
        <f>0.48*D22/200</f>
        <v>0.48</v>
      </c>
      <c r="T22" s="78"/>
      <c r="U22" s="226"/>
      <c r="V22" s="226"/>
      <c r="W22" s="226"/>
    </row>
    <row r="23" spans="1:23" s="75" customFormat="1" ht="12.75" customHeight="1">
      <c r="A23" s="82" t="s">
        <v>90</v>
      </c>
      <c r="B23" s="192" t="s">
        <v>62</v>
      </c>
      <c r="C23" s="193"/>
      <c r="D23" s="74">
        <v>40</v>
      </c>
      <c r="E23" s="76">
        <f>1.52*D23/30</f>
        <v>2.0266666666666664</v>
      </c>
      <c r="F23" s="77">
        <f>0.16*D23/30</f>
        <v>0.21333333333333335</v>
      </c>
      <c r="G23" s="77">
        <f>9.84*D23/30</f>
        <v>13.120000000000001</v>
      </c>
      <c r="H23" s="77">
        <f>E23*4+F23*9+G23*4</f>
        <v>62.50666666666667</v>
      </c>
      <c r="I23" s="77">
        <f>0.02*D23/30</f>
        <v>0.02666666666666667</v>
      </c>
      <c r="J23" s="77">
        <f>0.01*D23/30</f>
        <v>0.013333333333333334</v>
      </c>
      <c r="K23" s="77">
        <f>0.44*D23/30</f>
        <v>0.5866666666666667</v>
      </c>
      <c r="L23" s="77">
        <v>0</v>
      </c>
      <c r="M23" s="77">
        <f>0.7*D23/30</f>
        <v>0.9333333333333333</v>
      </c>
      <c r="N23" s="77">
        <f>4*D23/30</f>
        <v>5.333333333333333</v>
      </c>
      <c r="O23" s="77">
        <f>13*D23/30</f>
        <v>17.333333333333332</v>
      </c>
      <c r="P23" s="77">
        <f>0.008*D23/30</f>
        <v>0.010666666666666666</v>
      </c>
      <c r="Q23" s="77">
        <f>0.001*D23/30</f>
        <v>0.0013333333333333333</v>
      </c>
      <c r="R23" s="77">
        <v>0</v>
      </c>
      <c r="S23" s="77">
        <f>0.22*D23/30</f>
        <v>0.29333333333333333</v>
      </c>
      <c r="T23" s="78"/>
      <c r="U23" s="226"/>
      <c r="V23" s="226"/>
      <c r="W23" s="226"/>
    </row>
    <row r="24" spans="1:23" s="1" customFormat="1" ht="11.25" customHeight="1">
      <c r="A24" s="65" t="s">
        <v>26</v>
      </c>
      <c r="B24" s="65"/>
      <c r="C24" s="65"/>
      <c r="D24" s="130">
        <f aca="true" t="shared" si="0" ref="D24:S24">SUM(D19:D23)</f>
        <v>560</v>
      </c>
      <c r="E24" s="41">
        <f t="shared" si="0"/>
        <v>17.796666666666667</v>
      </c>
      <c r="F24" s="40">
        <f t="shared" si="0"/>
        <v>20.923333333333336</v>
      </c>
      <c r="G24" s="40">
        <f t="shared" si="0"/>
        <v>77.24000000000001</v>
      </c>
      <c r="H24" s="40">
        <f t="shared" si="0"/>
        <v>568.4566666666667</v>
      </c>
      <c r="I24" s="41">
        <f t="shared" si="0"/>
        <v>0.3546666666666667</v>
      </c>
      <c r="J24" s="41">
        <f t="shared" si="0"/>
        <v>0.29933333333333334</v>
      </c>
      <c r="K24" s="41">
        <f t="shared" si="0"/>
        <v>13.626666666666667</v>
      </c>
      <c r="L24" s="41">
        <f t="shared" si="0"/>
        <v>0.18600000000000003</v>
      </c>
      <c r="M24" s="41">
        <f t="shared" si="0"/>
        <v>1.6333333333333333</v>
      </c>
      <c r="N24" s="41">
        <f t="shared" si="0"/>
        <v>442.5133333333334</v>
      </c>
      <c r="O24" s="41">
        <f t="shared" si="0"/>
        <v>529.1133333333333</v>
      </c>
      <c r="P24" s="41">
        <f t="shared" si="0"/>
        <v>1.8406666666666667</v>
      </c>
      <c r="Q24" s="42">
        <f t="shared" si="0"/>
        <v>0.04533333333333334</v>
      </c>
      <c r="R24" s="41">
        <f t="shared" si="0"/>
        <v>106.49</v>
      </c>
      <c r="S24" s="41">
        <f t="shared" si="0"/>
        <v>4.763333333333334</v>
      </c>
      <c r="T24" s="40"/>
      <c r="U24" s="81">
        <f>AVERAGE(H25,H65,H102,H138,H177)</f>
        <v>0.24218478723404258</v>
      </c>
      <c r="V24" s="81">
        <f>AVERAGE(H38,H76,H112,H148,H188)</f>
        <v>0.33500174468085103</v>
      </c>
      <c r="W24" s="81">
        <f>AVERAGE(H45,H82,H119,H155,H193)</f>
        <v>0.1245847582205029</v>
      </c>
    </row>
    <row r="25" spans="1:23" s="1" customFormat="1" ht="11.25" customHeight="1">
      <c r="A25" s="219" t="s">
        <v>77</v>
      </c>
      <c r="B25" s="220"/>
      <c r="C25" s="220"/>
      <c r="D25" s="221"/>
      <c r="E25" s="128">
        <f aca="true" t="shared" si="1" ref="E25:S25">E24/E47</f>
        <v>0.23112554112554112</v>
      </c>
      <c r="F25" s="129">
        <f t="shared" si="1"/>
        <v>0.2648523206751055</v>
      </c>
      <c r="G25" s="129">
        <f t="shared" si="1"/>
        <v>0.2305671641791045</v>
      </c>
      <c r="H25" s="129">
        <f t="shared" si="1"/>
        <v>0.24189645390070924</v>
      </c>
      <c r="I25" s="129">
        <f t="shared" si="1"/>
        <v>0.29555555555555557</v>
      </c>
      <c r="J25" s="129">
        <f t="shared" si="1"/>
        <v>0.21380952380952384</v>
      </c>
      <c r="K25" s="129">
        <f t="shared" si="1"/>
        <v>0.22711111111111112</v>
      </c>
      <c r="L25" s="129">
        <f t="shared" si="1"/>
        <v>0.2657142857142858</v>
      </c>
      <c r="M25" s="129">
        <f t="shared" si="1"/>
        <v>0.16333333333333333</v>
      </c>
      <c r="N25" s="129">
        <f t="shared" si="1"/>
        <v>0.4022848484848485</v>
      </c>
      <c r="O25" s="129">
        <f t="shared" si="1"/>
        <v>0.4810121212121212</v>
      </c>
      <c r="P25" s="129">
        <f t="shared" si="1"/>
        <v>0.18406666666666666</v>
      </c>
      <c r="Q25" s="129">
        <f t="shared" si="1"/>
        <v>0.45333333333333337</v>
      </c>
      <c r="R25" s="129">
        <f t="shared" si="1"/>
        <v>0.42596</v>
      </c>
      <c r="S25" s="129">
        <f t="shared" si="1"/>
        <v>0.3969444444444445</v>
      </c>
      <c r="T25" s="51"/>
      <c r="U25" s="50"/>
      <c r="V25" s="50"/>
      <c r="W25" s="50"/>
    </row>
    <row r="26" spans="1:23" s="1" customFormat="1" ht="11.25" customHeight="1">
      <c r="A26" s="110" t="s">
        <v>146</v>
      </c>
      <c r="B26" s="111"/>
      <c r="C26" s="111"/>
      <c r="D26" s="112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51"/>
      <c r="U26" s="50"/>
      <c r="V26" s="50"/>
      <c r="W26" s="50"/>
    </row>
    <row r="27" spans="1:23" s="1" customFormat="1" ht="11.25" customHeight="1">
      <c r="A27" s="127" t="s">
        <v>90</v>
      </c>
      <c r="B27" s="122" t="s">
        <v>147</v>
      </c>
      <c r="C27" s="111"/>
      <c r="D27" s="127">
        <v>200</v>
      </c>
      <c r="E27" s="123">
        <v>5.4</v>
      </c>
      <c r="F27" s="123">
        <v>4.4</v>
      </c>
      <c r="G27" s="123">
        <v>8.8</v>
      </c>
      <c r="H27" s="123">
        <v>96.4</v>
      </c>
      <c r="I27" s="123">
        <v>0.08</v>
      </c>
      <c r="J27" s="123">
        <v>0.307</v>
      </c>
      <c r="K27" s="123">
        <v>2.6</v>
      </c>
      <c r="L27" s="123">
        <v>0.067</v>
      </c>
      <c r="M27" s="123">
        <v>0.292</v>
      </c>
      <c r="N27" s="124">
        <v>240</v>
      </c>
      <c r="O27" s="124">
        <v>180</v>
      </c>
      <c r="P27" s="125">
        <v>0.8</v>
      </c>
      <c r="Q27" s="123">
        <v>0.018</v>
      </c>
      <c r="R27" s="124">
        <v>28</v>
      </c>
      <c r="S27" s="123">
        <v>0.12</v>
      </c>
      <c r="T27" s="51"/>
      <c r="U27" s="50"/>
      <c r="V27" s="50"/>
      <c r="W27" s="50"/>
    </row>
    <row r="28" spans="1:23" s="1" customFormat="1" ht="11.25" customHeight="1">
      <c r="A28" s="243" t="s">
        <v>27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11"/>
      <c r="U28" s="24"/>
      <c r="V28" s="24"/>
      <c r="W28" s="24"/>
    </row>
    <row r="29" spans="1:23" s="1" customFormat="1" ht="22.5" customHeight="1">
      <c r="A29" s="143" t="s">
        <v>143</v>
      </c>
      <c r="B29" s="255" t="s">
        <v>132</v>
      </c>
      <c r="C29" s="256"/>
      <c r="D29" s="143">
        <v>60</v>
      </c>
      <c r="E29" s="144">
        <f>0.94*D29/60</f>
        <v>0.94</v>
      </c>
      <c r="F29" s="143">
        <f>7.22*D29/60</f>
        <v>7.22</v>
      </c>
      <c r="G29" s="143">
        <f>5.27*D29/60</f>
        <v>5.27</v>
      </c>
      <c r="H29" s="145">
        <f>E29*4+F29*9+G29*4</f>
        <v>89.82000000000001</v>
      </c>
      <c r="I29" s="143">
        <f>0.03*D29/60</f>
        <v>0.029999999999999995</v>
      </c>
      <c r="J29" s="143">
        <f>0.03*D29/60</f>
        <v>0.029999999999999995</v>
      </c>
      <c r="K29" s="143">
        <f>12.4*D29/60</f>
        <v>12.4</v>
      </c>
      <c r="L29" s="143">
        <f>0.001*D29/60</f>
        <v>0.001</v>
      </c>
      <c r="M29" s="143">
        <f>1.5*D29/60</f>
        <v>1.5</v>
      </c>
      <c r="N29" s="143">
        <f>19.7*D29/60</f>
        <v>19.7</v>
      </c>
      <c r="O29" s="146">
        <f>20.31*D29/60</f>
        <v>20.31</v>
      </c>
      <c r="P29" s="143">
        <f>0.3*D29/60</f>
        <v>0.3</v>
      </c>
      <c r="Q29" s="143">
        <f>0.001*D29/60</f>
        <v>0.001</v>
      </c>
      <c r="R29" s="143">
        <f>9.98*D29/60</f>
        <v>9.98</v>
      </c>
      <c r="S29" s="143">
        <f>0.34*D29/60</f>
        <v>0.34</v>
      </c>
      <c r="T29" s="11"/>
      <c r="U29" s="24"/>
      <c r="V29" s="24"/>
      <c r="W29" s="24"/>
    </row>
    <row r="30" spans="1:23" s="3" customFormat="1" ht="19.5" customHeight="1">
      <c r="A30" s="167">
        <v>45</v>
      </c>
      <c r="B30" s="242" t="s">
        <v>130</v>
      </c>
      <c r="C30" s="242"/>
      <c r="D30" s="74">
        <v>60</v>
      </c>
      <c r="E30" s="76">
        <f>0.9*D30/60</f>
        <v>0.9</v>
      </c>
      <c r="F30" s="76">
        <f>1.31*D30/60</f>
        <v>1.31</v>
      </c>
      <c r="G30" s="76">
        <f>5.6*D30/60</f>
        <v>5.6</v>
      </c>
      <c r="H30" s="76">
        <f aca="true" t="shared" si="2" ref="H30:H36">E30*4+F30*9+G30*4</f>
        <v>37.79</v>
      </c>
      <c r="I30" s="76">
        <f>0.06*D30/60</f>
        <v>0.05999999999999999</v>
      </c>
      <c r="J30" s="76">
        <f>0.07*D30/60</f>
        <v>0.07</v>
      </c>
      <c r="K30" s="76">
        <f>15.5*D30/60</f>
        <v>15.5</v>
      </c>
      <c r="L30" s="77">
        <f>0.071*D30/60</f>
        <v>0.071</v>
      </c>
      <c r="M30" s="76">
        <f>0.3*D30/60</f>
        <v>0.3</v>
      </c>
      <c r="N30" s="76">
        <f>28.2*D30/60</f>
        <v>28.2</v>
      </c>
      <c r="O30" s="76">
        <f>18.9*D30/60</f>
        <v>18.9</v>
      </c>
      <c r="P30" s="76">
        <f>0.2*D30/60</f>
        <v>0.2</v>
      </c>
      <c r="Q30" s="77">
        <f>0.001*D30/60</f>
        <v>0.001</v>
      </c>
      <c r="R30" s="76">
        <f>10.5*D30/60</f>
        <v>10.5</v>
      </c>
      <c r="S30" s="76">
        <f>0.6*D30/60</f>
        <v>0.6</v>
      </c>
      <c r="T30" s="78"/>
      <c r="U30" s="79"/>
      <c r="V30" s="79"/>
      <c r="W30" s="79"/>
    </row>
    <row r="31" spans="1:23" s="75" customFormat="1" ht="22.5" customHeight="1">
      <c r="A31" s="167">
        <v>102</v>
      </c>
      <c r="B31" s="215" t="s">
        <v>112</v>
      </c>
      <c r="C31" s="216"/>
      <c r="D31" s="34" t="s">
        <v>35</v>
      </c>
      <c r="E31" s="76">
        <v>4.84</v>
      </c>
      <c r="F31" s="76">
        <v>3.1</v>
      </c>
      <c r="G31" s="76">
        <v>16.9</v>
      </c>
      <c r="H31" s="76">
        <f t="shared" si="2"/>
        <v>114.86</v>
      </c>
      <c r="I31" s="76">
        <v>0.21</v>
      </c>
      <c r="J31" s="76">
        <v>0.07</v>
      </c>
      <c r="K31" s="76">
        <v>7</v>
      </c>
      <c r="L31" s="77">
        <v>0.001</v>
      </c>
      <c r="M31" s="76">
        <v>0.2</v>
      </c>
      <c r="N31" s="76">
        <v>42.1</v>
      </c>
      <c r="O31" s="76">
        <v>142.5</v>
      </c>
      <c r="P31" s="76">
        <v>0.9</v>
      </c>
      <c r="Q31" s="77">
        <v>0.01</v>
      </c>
      <c r="R31" s="76">
        <v>38.6</v>
      </c>
      <c r="S31" s="76">
        <v>0.8</v>
      </c>
      <c r="T31" s="78"/>
      <c r="U31" s="79"/>
      <c r="V31" s="79"/>
      <c r="W31" s="79"/>
    </row>
    <row r="32" spans="1:23" s="75" customFormat="1" ht="22.5" customHeight="1">
      <c r="A32" s="167">
        <v>268</v>
      </c>
      <c r="B32" s="215" t="s">
        <v>134</v>
      </c>
      <c r="C32" s="216"/>
      <c r="D32" s="74">
        <v>90</v>
      </c>
      <c r="E32" s="76">
        <f>13.46*D32/80</f>
        <v>15.142500000000002</v>
      </c>
      <c r="F32" s="73">
        <f>10.86*D32/80</f>
        <v>12.2175</v>
      </c>
      <c r="G32" s="73">
        <f>5.34*D32/80</f>
        <v>6.007499999999999</v>
      </c>
      <c r="H32" s="76">
        <f>E32*4+F32*9+G32*4</f>
        <v>194.5575</v>
      </c>
      <c r="I32" s="76">
        <f>0.07*D32/80</f>
        <v>0.07875000000000001</v>
      </c>
      <c r="J32" s="76">
        <f>0.23*D32/80</f>
        <v>0.25875</v>
      </c>
      <c r="K32" s="76">
        <f>0.75*D32/80</f>
        <v>0.84375</v>
      </c>
      <c r="L32" s="72">
        <f>0.2*D32/80</f>
        <v>0.225</v>
      </c>
      <c r="M32" s="77">
        <f>0.02*D32/80</f>
        <v>0.0225</v>
      </c>
      <c r="N32" s="73">
        <f>73.74*D32/80</f>
        <v>82.9575</v>
      </c>
      <c r="O32" s="73">
        <f>184.82*D32/80</f>
        <v>207.92249999999999</v>
      </c>
      <c r="P32" s="76">
        <f>2.28*D32/80</f>
        <v>2.565</v>
      </c>
      <c r="Q32" s="77">
        <f>0.03*D32/80</f>
        <v>0.033749999999999995</v>
      </c>
      <c r="R32" s="76">
        <f>29.86*D32/80</f>
        <v>33.5925</v>
      </c>
      <c r="S32" s="76">
        <f>1.93*D32/80</f>
        <v>2.1712499999999997</v>
      </c>
      <c r="T32" s="78"/>
      <c r="U32" s="79"/>
      <c r="V32" s="79"/>
      <c r="W32" s="79"/>
    </row>
    <row r="33" spans="1:23" s="3" customFormat="1" ht="24" customHeight="1">
      <c r="A33" s="167">
        <v>203</v>
      </c>
      <c r="B33" s="215" t="s">
        <v>114</v>
      </c>
      <c r="C33" s="216"/>
      <c r="D33" s="74">
        <v>150</v>
      </c>
      <c r="E33" s="76">
        <f>5.7*D33/150</f>
        <v>5.7</v>
      </c>
      <c r="F33" s="76">
        <f>3.43*D33/150</f>
        <v>3.43</v>
      </c>
      <c r="G33" s="76">
        <f>36.45*D33/150</f>
        <v>36.45</v>
      </c>
      <c r="H33" s="76">
        <f t="shared" si="2"/>
        <v>199.47000000000003</v>
      </c>
      <c r="I33" s="76">
        <f>0.09*D33/150</f>
        <v>0.09</v>
      </c>
      <c r="J33" s="76">
        <f>0.03*D33/150</f>
        <v>0.03</v>
      </c>
      <c r="K33" s="76">
        <v>0</v>
      </c>
      <c r="L33" s="77">
        <f>0.03*D33/150</f>
        <v>0.03</v>
      </c>
      <c r="M33" s="76">
        <f>1.25*D33/150</f>
        <v>1.25</v>
      </c>
      <c r="N33" s="76">
        <f>13.28*D33/150</f>
        <v>13.28</v>
      </c>
      <c r="O33" s="76">
        <f>46.21*D33/150</f>
        <v>46.21</v>
      </c>
      <c r="P33" s="76">
        <f>0.78*D33/150</f>
        <v>0.78</v>
      </c>
      <c r="Q33" s="77">
        <f>0.0015*D33/150</f>
        <v>0.0015</v>
      </c>
      <c r="R33" s="76">
        <f>8.47*D33/150</f>
        <v>8.47</v>
      </c>
      <c r="S33" s="76">
        <f>0.86*D33/150</f>
        <v>0.86</v>
      </c>
      <c r="T33" s="78"/>
      <c r="U33" s="79"/>
      <c r="V33" s="79"/>
      <c r="W33" s="79"/>
    </row>
    <row r="34" spans="1:23" s="3" customFormat="1" ht="12.75" customHeight="1">
      <c r="A34" s="167">
        <v>377</v>
      </c>
      <c r="B34" s="242" t="s">
        <v>47</v>
      </c>
      <c r="C34" s="242"/>
      <c r="D34" s="74" t="s">
        <v>54</v>
      </c>
      <c r="E34" s="76">
        <v>0.26</v>
      </c>
      <c r="F34" s="76">
        <v>0.06</v>
      </c>
      <c r="G34" s="76">
        <v>15.22</v>
      </c>
      <c r="H34" s="76">
        <f t="shared" si="2"/>
        <v>62.46</v>
      </c>
      <c r="I34" s="76"/>
      <c r="J34" s="76">
        <v>0.01</v>
      </c>
      <c r="K34" s="76">
        <v>2.9</v>
      </c>
      <c r="L34" s="72">
        <v>0</v>
      </c>
      <c r="M34" s="76">
        <v>0.06</v>
      </c>
      <c r="N34" s="76">
        <v>8.05</v>
      </c>
      <c r="O34" s="76">
        <v>9.78</v>
      </c>
      <c r="P34" s="76">
        <v>0.017</v>
      </c>
      <c r="Q34" s="77">
        <v>0</v>
      </c>
      <c r="R34" s="76">
        <v>5.24</v>
      </c>
      <c r="S34" s="76">
        <v>0.87</v>
      </c>
      <c r="T34" s="78"/>
      <c r="U34" s="79"/>
      <c r="V34" s="79"/>
      <c r="W34" s="79"/>
    </row>
    <row r="35" spans="1:23" s="3" customFormat="1" ht="11.25" customHeight="1">
      <c r="A35" s="83" t="s">
        <v>90</v>
      </c>
      <c r="B35" s="215" t="s">
        <v>48</v>
      </c>
      <c r="C35" s="216"/>
      <c r="D35" s="74">
        <v>40</v>
      </c>
      <c r="E35" s="76">
        <f>2.64*D35/40</f>
        <v>2.64</v>
      </c>
      <c r="F35" s="76">
        <f>0.48*D35/40</f>
        <v>0.48</v>
      </c>
      <c r="G35" s="76">
        <f>13.68*D35/40</f>
        <v>13.680000000000001</v>
      </c>
      <c r="H35" s="76">
        <f t="shared" si="2"/>
        <v>69.60000000000001</v>
      </c>
      <c r="I35" s="72">
        <f>0.08*D35/40</f>
        <v>0.08</v>
      </c>
      <c r="J35" s="76">
        <f>0.04*D35/40</f>
        <v>0.04</v>
      </c>
      <c r="K35" s="74">
        <v>0</v>
      </c>
      <c r="L35" s="74">
        <v>0</v>
      </c>
      <c r="M35" s="76">
        <f>2.4*D35/40</f>
        <v>2.4</v>
      </c>
      <c r="N35" s="76">
        <f>14*D35/40</f>
        <v>14</v>
      </c>
      <c r="O35" s="76">
        <f>63.2*D35/40</f>
        <v>63.2</v>
      </c>
      <c r="P35" s="76">
        <f>1.2*D35/40</f>
        <v>1.2</v>
      </c>
      <c r="Q35" s="77">
        <f>0.001*D35/40</f>
        <v>0.001</v>
      </c>
      <c r="R35" s="76">
        <f>9.4*D35/40</f>
        <v>9.4</v>
      </c>
      <c r="S35" s="72">
        <f>0.78*D35/40</f>
        <v>0.78</v>
      </c>
      <c r="T35" s="30"/>
      <c r="U35" s="31"/>
      <c r="V35" s="31"/>
      <c r="W35" s="31"/>
    </row>
    <row r="36" spans="1:23" s="3" customFormat="1" ht="11.25" customHeight="1">
      <c r="A36" s="82" t="s">
        <v>90</v>
      </c>
      <c r="B36" s="215" t="s">
        <v>62</v>
      </c>
      <c r="C36" s="216"/>
      <c r="D36" s="74">
        <v>30</v>
      </c>
      <c r="E36" s="76">
        <f>1.52*D36/30</f>
        <v>1.52</v>
      </c>
      <c r="F36" s="77">
        <f>0.16*D36/30</f>
        <v>0.16</v>
      </c>
      <c r="G36" s="77">
        <f>9.84*D36/30</f>
        <v>9.84</v>
      </c>
      <c r="H36" s="77">
        <f t="shared" si="2"/>
        <v>46.879999999999995</v>
      </c>
      <c r="I36" s="77">
        <f>0.02*D36/30</f>
        <v>0.02</v>
      </c>
      <c r="J36" s="77">
        <f>0.01*D36/30</f>
        <v>0.01</v>
      </c>
      <c r="K36" s="77">
        <f>0.44*D36/30</f>
        <v>0.44</v>
      </c>
      <c r="L36" s="77">
        <v>0</v>
      </c>
      <c r="M36" s="77">
        <f>0.7*D36/30</f>
        <v>0.7</v>
      </c>
      <c r="N36" s="77">
        <f>4*D36/30</f>
        <v>4</v>
      </c>
      <c r="O36" s="77">
        <f>13*D36/30</f>
        <v>13</v>
      </c>
      <c r="P36" s="77">
        <f>0.008*D36/30</f>
        <v>0.008</v>
      </c>
      <c r="Q36" s="77">
        <f>0.001*D36/30</f>
        <v>0.001</v>
      </c>
      <c r="R36" s="77">
        <v>0</v>
      </c>
      <c r="S36" s="77">
        <f>0.22*D36/30</f>
        <v>0.22</v>
      </c>
      <c r="T36" s="78"/>
      <c r="U36" s="79"/>
      <c r="V36" s="79"/>
      <c r="W36" s="79"/>
    </row>
    <row r="37" spans="1:23" s="1" customFormat="1" ht="11.25" customHeight="1">
      <c r="A37" s="65" t="s">
        <v>28</v>
      </c>
      <c r="B37" s="65"/>
      <c r="C37" s="65"/>
      <c r="D37" s="126">
        <v>784</v>
      </c>
      <c r="E37" s="41">
        <f>SUM(E30:E36)</f>
        <v>31.0025</v>
      </c>
      <c r="F37" s="41">
        <f>SUM(F30:F36)</f>
        <v>20.757499999999997</v>
      </c>
      <c r="G37" s="41">
        <f>SUM(G30:G36)</f>
        <v>103.69750000000002</v>
      </c>
      <c r="H37" s="40">
        <f>SUM(H30:H36)</f>
        <v>725.6175000000001</v>
      </c>
      <c r="I37" s="41">
        <f aca="true" t="shared" si="3" ref="I37:R37">SUM(I30:I36)</f>
        <v>0.53875</v>
      </c>
      <c r="J37" s="41">
        <f t="shared" si="3"/>
        <v>0.48874999999999996</v>
      </c>
      <c r="K37" s="41">
        <f t="shared" si="3"/>
        <v>26.68375</v>
      </c>
      <c r="L37" s="41">
        <f t="shared" si="3"/>
        <v>0.32699999999999996</v>
      </c>
      <c r="M37" s="41">
        <f t="shared" si="3"/>
        <v>4.9325</v>
      </c>
      <c r="N37" s="41">
        <f t="shared" si="3"/>
        <v>192.5875</v>
      </c>
      <c r="O37" s="41">
        <f t="shared" si="3"/>
        <v>501.51249999999993</v>
      </c>
      <c r="P37" s="41">
        <f t="shared" si="3"/>
        <v>5.670000000000001</v>
      </c>
      <c r="Q37" s="42">
        <f t="shared" si="3"/>
        <v>0.04825</v>
      </c>
      <c r="R37" s="41">
        <f t="shared" si="3"/>
        <v>105.8025</v>
      </c>
      <c r="S37" s="41">
        <f>SUM(S30:S36)</f>
        <v>6.30125</v>
      </c>
      <c r="T37" s="40"/>
      <c r="U37" s="43"/>
      <c r="V37" s="43"/>
      <c r="W37" s="43"/>
    </row>
    <row r="38" spans="1:23" s="1" customFormat="1" ht="11.25" customHeight="1">
      <c r="A38" s="239" t="s">
        <v>77</v>
      </c>
      <c r="B38" s="240"/>
      <c r="C38" s="240"/>
      <c r="D38" s="241"/>
      <c r="E38" s="128">
        <f aca="true" t="shared" si="4" ref="E38:S38">E37/E47</f>
        <v>0.40262987012987017</v>
      </c>
      <c r="F38" s="129">
        <f t="shared" si="4"/>
        <v>0.26275316455696196</v>
      </c>
      <c r="G38" s="129">
        <f t="shared" si="4"/>
        <v>0.30954477611940306</v>
      </c>
      <c r="H38" s="129">
        <f t="shared" si="4"/>
        <v>0.3087734042553192</v>
      </c>
      <c r="I38" s="129">
        <f t="shared" si="4"/>
        <v>0.4489583333333333</v>
      </c>
      <c r="J38" s="129">
        <f t="shared" si="4"/>
        <v>0.34910714285714284</v>
      </c>
      <c r="K38" s="129">
        <f t="shared" si="4"/>
        <v>0.4447291666666667</v>
      </c>
      <c r="L38" s="129">
        <f t="shared" si="4"/>
        <v>0.46714285714285714</v>
      </c>
      <c r="M38" s="129">
        <f t="shared" si="4"/>
        <v>0.49325</v>
      </c>
      <c r="N38" s="129">
        <f t="shared" si="4"/>
        <v>0.17507954545454546</v>
      </c>
      <c r="O38" s="129">
        <f t="shared" si="4"/>
        <v>0.4559204545454545</v>
      </c>
      <c r="P38" s="129">
        <f t="shared" si="4"/>
        <v>0.5670000000000001</v>
      </c>
      <c r="Q38" s="129">
        <f t="shared" si="4"/>
        <v>0.4825</v>
      </c>
      <c r="R38" s="129">
        <f t="shared" si="4"/>
        <v>0.42321</v>
      </c>
      <c r="S38" s="129">
        <f t="shared" si="4"/>
        <v>0.5251041666666666</v>
      </c>
      <c r="T38" s="51"/>
      <c r="U38" s="43"/>
      <c r="V38" s="43"/>
      <c r="W38" s="43"/>
    </row>
    <row r="39" spans="1:23" s="1" customFormat="1" ht="11.25" customHeight="1">
      <c r="A39" s="89" t="s">
        <v>109</v>
      </c>
      <c r="B39" s="103"/>
      <c r="C39" s="103"/>
      <c r="D39" s="104"/>
      <c r="E39" s="41">
        <f>E29+E31+E32+E33+E34+E35+E36</f>
        <v>31.0425</v>
      </c>
      <c r="F39" s="41">
        <f aca="true" t="shared" si="5" ref="F39:S39">F29+F31+F32+F33+F34+F35+F36</f>
        <v>26.6675</v>
      </c>
      <c r="G39" s="41">
        <f t="shared" si="5"/>
        <v>103.3675</v>
      </c>
      <c r="H39" s="41">
        <f t="shared" si="5"/>
        <v>777.6475</v>
      </c>
      <c r="I39" s="41">
        <f t="shared" si="5"/>
        <v>0.5087499999999999</v>
      </c>
      <c r="J39" s="41">
        <f t="shared" si="5"/>
        <v>0.44875000000000004</v>
      </c>
      <c r="K39" s="41">
        <f t="shared" si="5"/>
        <v>23.58375</v>
      </c>
      <c r="L39" s="41">
        <f t="shared" si="5"/>
        <v>0.257</v>
      </c>
      <c r="M39" s="41">
        <f t="shared" si="5"/>
        <v>6.1325</v>
      </c>
      <c r="N39" s="41">
        <f t="shared" si="5"/>
        <v>184.0875</v>
      </c>
      <c r="O39" s="41">
        <f t="shared" si="5"/>
        <v>502.9224999999999</v>
      </c>
      <c r="P39" s="41">
        <f t="shared" si="5"/>
        <v>5.7700000000000005</v>
      </c>
      <c r="Q39" s="41">
        <f t="shared" si="5"/>
        <v>0.04825</v>
      </c>
      <c r="R39" s="41">
        <f t="shared" si="5"/>
        <v>105.2825</v>
      </c>
      <c r="S39" s="41">
        <f t="shared" si="5"/>
        <v>6.04125</v>
      </c>
      <c r="T39" s="51"/>
      <c r="U39" s="43"/>
      <c r="V39" s="43"/>
      <c r="W39" s="43"/>
    </row>
    <row r="40" spans="1:23" s="1" customFormat="1" ht="11.25" customHeight="1">
      <c r="A40" s="243" t="s">
        <v>29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11"/>
      <c r="U40" s="24"/>
      <c r="V40" s="24"/>
      <c r="W40" s="24"/>
    </row>
    <row r="41" spans="1:23" s="1" customFormat="1" ht="15.75" customHeight="1">
      <c r="A41" s="105">
        <v>341</v>
      </c>
      <c r="B41" s="192" t="s">
        <v>140</v>
      </c>
      <c r="C41" s="193"/>
      <c r="D41" s="74">
        <v>100</v>
      </c>
      <c r="E41" s="76">
        <f>0.39*D41/60</f>
        <v>0.65</v>
      </c>
      <c r="F41" s="76">
        <f>0.18*D41/60</f>
        <v>0.3</v>
      </c>
      <c r="G41" s="76">
        <f>5.37*D41/60</f>
        <v>8.95</v>
      </c>
      <c r="H41" s="76">
        <f>E41*4+F41*9+G41*4</f>
        <v>41.099999999999994</v>
      </c>
      <c r="I41" s="77">
        <f>0.02*D41/60</f>
        <v>0.03333333333333333</v>
      </c>
      <c r="J41" s="76">
        <f>0.02*D41/60</f>
        <v>0.03333333333333333</v>
      </c>
      <c r="K41" s="76">
        <f>22.95*D41/60</f>
        <v>38.25</v>
      </c>
      <c r="L41" s="77">
        <f>0.02*D41/60</f>
        <v>0.03333333333333333</v>
      </c>
      <c r="M41" s="72">
        <f>0.6*D41/60</f>
        <v>1</v>
      </c>
      <c r="N41" s="73">
        <f>15*D41/60</f>
        <v>25</v>
      </c>
      <c r="O41" s="76">
        <f>10.2*D41/60</f>
        <v>16.999999999999996</v>
      </c>
      <c r="P41" s="76">
        <f>0.13*D41/60</f>
        <v>0.21666666666666667</v>
      </c>
      <c r="Q41" s="77">
        <f>0.001*D41/60</f>
        <v>0.0016666666666666668</v>
      </c>
      <c r="R41" s="76">
        <f>6.6*D41/60</f>
        <v>11</v>
      </c>
      <c r="S41" s="76">
        <f>0.75*D41/60</f>
        <v>1.25</v>
      </c>
      <c r="T41" s="11"/>
      <c r="U41" s="24"/>
      <c r="V41" s="24"/>
      <c r="W41" s="24"/>
    </row>
    <row r="42" spans="1:23" s="3" customFormat="1" ht="12" customHeight="1">
      <c r="A42" s="105"/>
      <c r="B42" s="192" t="s">
        <v>137</v>
      </c>
      <c r="C42" s="193"/>
      <c r="D42" s="74">
        <v>35</v>
      </c>
      <c r="E42" s="76">
        <v>0.1</v>
      </c>
      <c r="F42" s="76">
        <v>0.01</v>
      </c>
      <c r="G42" s="76">
        <v>27.93</v>
      </c>
      <c r="H42" s="76">
        <f>E42*4+F42*9+G42*4</f>
        <v>112.21</v>
      </c>
      <c r="I42" s="77"/>
      <c r="J42" s="76"/>
      <c r="K42" s="76"/>
      <c r="L42" s="77"/>
      <c r="M42" s="72"/>
      <c r="N42" s="73">
        <v>8.75</v>
      </c>
      <c r="O42" s="76">
        <v>4.2</v>
      </c>
      <c r="P42" s="76"/>
      <c r="Q42" s="77"/>
      <c r="R42" s="76">
        <v>2.1</v>
      </c>
      <c r="S42" s="76">
        <v>0.49</v>
      </c>
      <c r="T42" s="78"/>
      <c r="U42" s="79"/>
      <c r="V42" s="79"/>
      <c r="W42" s="79"/>
    </row>
    <row r="43" spans="1:23" s="3" customFormat="1" ht="11.25" customHeight="1">
      <c r="A43" s="105">
        <v>386</v>
      </c>
      <c r="B43" s="191" t="s">
        <v>115</v>
      </c>
      <c r="C43" s="191"/>
      <c r="D43" s="74">
        <v>200</v>
      </c>
      <c r="E43" s="76">
        <v>5.8</v>
      </c>
      <c r="F43" s="76">
        <v>5</v>
      </c>
      <c r="G43" s="76">
        <v>8</v>
      </c>
      <c r="H43" s="76">
        <f>E43*4+F43*9+G43*4</f>
        <v>100.2</v>
      </c>
      <c r="I43" s="77">
        <v>0.04</v>
      </c>
      <c r="J43" s="77">
        <v>0.26</v>
      </c>
      <c r="K43" s="76">
        <v>0.6</v>
      </c>
      <c r="L43" s="76">
        <v>0.04</v>
      </c>
      <c r="M43" s="72">
        <v>0.001</v>
      </c>
      <c r="N43" s="76">
        <v>240</v>
      </c>
      <c r="O43" s="76">
        <v>184</v>
      </c>
      <c r="P43" s="73">
        <v>0.4</v>
      </c>
      <c r="Q43" s="77">
        <v>0.001</v>
      </c>
      <c r="R43" s="76">
        <v>28</v>
      </c>
      <c r="S43" s="76">
        <v>0.2</v>
      </c>
      <c r="T43" s="78"/>
      <c r="U43" s="79"/>
      <c r="V43" s="79"/>
      <c r="W43" s="79"/>
    </row>
    <row r="44" spans="1:23" s="1" customFormat="1" ht="11.25" customHeight="1">
      <c r="A44" s="66" t="s">
        <v>30</v>
      </c>
      <c r="B44" s="67"/>
      <c r="C44" s="67"/>
      <c r="D44" s="130">
        <f>SUM(D41:D43)</f>
        <v>335</v>
      </c>
      <c r="E44" s="134">
        <f aca="true" t="shared" si="6" ref="E44:S44">SUM(E41:E43)</f>
        <v>6.55</v>
      </c>
      <c r="F44" s="134">
        <f t="shared" si="6"/>
        <v>5.31</v>
      </c>
      <c r="G44" s="134">
        <f t="shared" si="6"/>
        <v>44.879999999999995</v>
      </c>
      <c r="H44" s="134">
        <f t="shared" si="6"/>
        <v>253.51</v>
      </c>
      <c r="I44" s="134">
        <f t="shared" si="6"/>
        <v>0.07333333333333333</v>
      </c>
      <c r="J44" s="134">
        <f t="shared" si="6"/>
        <v>0.29333333333333333</v>
      </c>
      <c r="K44" s="134">
        <f t="shared" si="6"/>
        <v>38.85</v>
      </c>
      <c r="L44" s="134">
        <f t="shared" si="6"/>
        <v>0.07333333333333333</v>
      </c>
      <c r="M44" s="134">
        <f t="shared" si="6"/>
        <v>1.001</v>
      </c>
      <c r="N44" s="134">
        <f t="shared" si="6"/>
        <v>273.75</v>
      </c>
      <c r="O44" s="134">
        <f t="shared" si="6"/>
        <v>205.2</v>
      </c>
      <c r="P44" s="134">
        <f t="shared" si="6"/>
        <v>0.6166666666666667</v>
      </c>
      <c r="Q44" s="134">
        <f t="shared" si="6"/>
        <v>0.002666666666666667</v>
      </c>
      <c r="R44" s="134">
        <f t="shared" si="6"/>
        <v>41.1</v>
      </c>
      <c r="S44" s="134">
        <f t="shared" si="6"/>
        <v>1.94</v>
      </c>
      <c r="T44" s="40"/>
      <c r="U44" s="43"/>
      <c r="V44" s="43"/>
      <c r="W44" s="43"/>
    </row>
    <row r="45" spans="1:23" s="1" customFormat="1" ht="11.25" customHeight="1">
      <c r="A45" s="219" t="s">
        <v>77</v>
      </c>
      <c r="B45" s="220"/>
      <c r="C45" s="220"/>
      <c r="D45" s="221"/>
      <c r="E45" s="135">
        <f>E44/E47</f>
        <v>0.08506493506493507</v>
      </c>
      <c r="F45" s="129">
        <f aca="true" t="shared" si="7" ref="F45:S45">F44/F47</f>
        <v>0.06721518987341772</v>
      </c>
      <c r="G45" s="129">
        <f t="shared" si="7"/>
        <v>0.13397014925373132</v>
      </c>
      <c r="H45" s="129">
        <f t="shared" si="7"/>
        <v>0.10787659574468085</v>
      </c>
      <c r="I45" s="129">
        <f t="shared" si="7"/>
        <v>0.061111111111111116</v>
      </c>
      <c r="J45" s="129">
        <f t="shared" si="7"/>
        <v>0.20952380952380953</v>
      </c>
      <c r="K45" s="129">
        <f t="shared" si="7"/>
        <v>0.6475000000000001</v>
      </c>
      <c r="L45" s="129">
        <f t="shared" si="7"/>
        <v>0.10476190476190476</v>
      </c>
      <c r="M45" s="129">
        <f t="shared" si="7"/>
        <v>0.1001</v>
      </c>
      <c r="N45" s="129">
        <f t="shared" si="7"/>
        <v>0.24886363636363637</v>
      </c>
      <c r="O45" s="129">
        <f t="shared" si="7"/>
        <v>0.18654545454545454</v>
      </c>
      <c r="P45" s="129">
        <f t="shared" si="7"/>
        <v>0.06166666666666667</v>
      </c>
      <c r="Q45" s="129">
        <f t="shared" si="7"/>
        <v>0.02666666666666667</v>
      </c>
      <c r="R45" s="129">
        <f t="shared" si="7"/>
        <v>0.16440000000000002</v>
      </c>
      <c r="S45" s="129">
        <f t="shared" si="7"/>
        <v>0.16166666666666665</v>
      </c>
      <c r="T45" s="51"/>
      <c r="U45" s="43"/>
      <c r="V45" s="43"/>
      <c r="W45" s="43"/>
    </row>
    <row r="46" spans="1:23" s="1" customFormat="1" ht="11.25" customHeight="1">
      <c r="A46" s="219" t="s">
        <v>76</v>
      </c>
      <c r="B46" s="220"/>
      <c r="C46" s="220"/>
      <c r="D46" s="221"/>
      <c r="E46" s="41">
        <f aca="true" t="shared" si="8" ref="E46:S46">SUM(E24,E37,E44)</f>
        <v>55.34916666666666</v>
      </c>
      <c r="F46" s="40">
        <f t="shared" si="8"/>
        <v>46.990833333333335</v>
      </c>
      <c r="G46" s="40">
        <f t="shared" si="8"/>
        <v>225.81750000000002</v>
      </c>
      <c r="H46" s="40">
        <f t="shared" si="8"/>
        <v>1547.5841666666668</v>
      </c>
      <c r="I46" s="41">
        <f t="shared" si="8"/>
        <v>0.96675</v>
      </c>
      <c r="J46" s="41">
        <f t="shared" si="8"/>
        <v>1.0814166666666667</v>
      </c>
      <c r="K46" s="41">
        <f t="shared" si="8"/>
        <v>79.16041666666666</v>
      </c>
      <c r="L46" s="41">
        <f t="shared" si="8"/>
        <v>0.5863333333333334</v>
      </c>
      <c r="M46" s="41">
        <f t="shared" si="8"/>
        <v>7.566833333333333</v>
      </c>
      <c r="N46" s="41">
        <f t="shared" si="8"/>
        <v>908.8508333333334</v>
      </c>
      <c r="O46" s="40">
        <f t="shared" si="8"/>
        <v>1235.8258333333333</v>
      </c>
      <c r="P46" s="42">
        <f t="shared" si="8"/>
        <v>8.127333333333334</v>
      </c>
      <c r="Q46" s="42">
        <f t="shared" si="8"/>
        <v>0.09625</v>
      </c>
      <c r="R46" s="41">
        <f t="shared" si="8"/>
        <v>253.39249999999998</v>
      </c>
      <c r="S46" s="41">
        <f t="shared" si="8"/>
        <v>13.004583333333333</v>
      </c>
      <c r="T46" s="44"/>
      <c r="U46" s="43"/>
      <c r="V46" s="43"/>
      <c r="W46" s="43"/>
    </row>
    <row r="47" spans="1:23" s="1" customFormat="1" ht="11.25" customHeight="1">
      <c r="A47" s="219" t="s">
        <v>78</v>
      </c>
      <c r="B47" s="220"/>
      <c r="C47" s="220"/>
      <c r="D47" s="221"/>
      <c r="E47" s="76">
        <v>77</v>
      </c>
      <c r="F47" s="73">
        <v>79</v>
      </c>
      <c r="G47" s="73">
        <v>335</v>
      </c>
      <c r="H47" s="73">
        <v>2350</v>
      </c>
      <c r="I47" s="76">
        <v>1.2</v>
      </c>
      <c r="J47" s="76">
        <v>1.4</v>
      </c>
      <c r="K47" s="74">
        <v>60</v>
      </c>
      <c r="L47" s="76">
        <v>0.7</v>
      </c>
      <c r="M47" s="74">
        <v>10</v>
      </c>
      <c r="N47" s="74">
        <v>1100</v>
      </c>
      <c r="O47" s="74">
        <v>1100</v>
      </c>
      <c r="P47" s="74">
        <v>10</v>
      </c>
      <c r="Q47" s="73">
        <v>0.1</v>
      </c>
      <c r="R47" s="74">
        <v>250</v>
      </c>
      <c r="S47" s="76">
        <v>12</v>
      </c>
      <c r="T47" s="78"/>
      <c r="U47" s="79"/>
      <c r="V47" s="79"/>
      <c r="W47" s="79"/>
    </row>
    <row r="48" spans="1:23" s="1" customFormat="1" ht="11.25" customHeight="1">
      <c r="A48" s="219" t="s">
        <v>77</v>
      </c>
      <c r="B48" s="220"/>
      <c r="C48" s="220"/>
      <c r="D48" s="221"/>
      <c r="E48" s="81">
        <f aca="true" t="shared" si="9" ref="E48:S48">E46/E47</f>
        <v>0.7188203463203463</v>
      </c>
      <c r="F48" s="129">
        <f t="shared" si="9"/>
        <v>0.5948206751054852</v>
      </c>
      <c r="G48" s="46">
        <f t="shared" si="9"/>
        <v>0.6740820895522389</v>
      </c>
      <c r="H48" s="46">
        <f t="shared" si="9"/>
        <v>0.6585464539007092</v>
      </c>
      <c r="I48" s="46">
        <f t="shared" si="9"/>
        <v>0.805625</v>
      </c>
      <c r="J48" s="46">
        <f t="shared" si="9"/>
        <v>0.7724404761904763</v>
      </c>
      <c r="K48" s="46">
        <f t="shared" si="9"/>
        <v>1.3193402777777776</v>
      </c>
      <c r="L48" s="47">
        <f t="shared" si="9"/>
        <v>0.8376190476190477</v>
      </c>
      <c r="M48" s="46">
        <f t="shared" si="9"/>
        <v>0.7566833333333334</v>
      </c>
      <c r="N48" s="46">
        <f t="shared" si="9"/>
        <v>0.8262280303030304</v>
      </c>
      <c r="O48" s="46">
        <f t="shared" si="9"/>
        <v>1.1234780303030303</v>
      </c>
      <c r="P48" s="46">
        <f t="shared" si="9"/>
        <v>0.8127333333333334</v>
      </c>
      <c r="Q48" s="46">
        <f>Q46/Q47</f>
        <v>0.9625</v>
      </c>
      <c r="R48" s="46">
        <f t="shared" si="9"/>
        <v>1.0135699999999999</v>
      </c>
      <c r="S48" s="47">
        <f t="shared" si="9"/>
        <v>1.0837152777777777</v>
      </c>
      <c r="T48" s="48"/>
      <c r="U48" s="49"/>
      <c r="V48" s="49"/>
      <c r="W48" s="49"/>
    </row>
    <row r="49" spans="1:23" s="1" customFormat="1" ht="11.25" customHeight="1">
      <c r="A49" s="177" t="s">
        <v>171</v>
      </c>
      <c r="B49" s="177"/>
      <c r="C49" s="177"/>
      <c r="D49" s="177"/>
      <c r="E49" s="178"/>
      <c r="F49" s="179"/>
      <c r="G49" s="180"/>
      <c r="H49" s="175"/>
      <c r="I49" s="175"/>
      <c r="J49" s="175"/>
      <c r="K49" s="175"/>
      <c r="L49" s="176"/>
      <c r="M49" s="175"/>
      <c r="N49" s="175"/>
      <c r="O49" s="175"/>
      <c r="P49" s="175"/>
      <c r="Q49" s="175"/>
      <c r="R49" s="175"/>
      <c r="S49" s="176"/>
      <c r="T49" s="48"/>
      <c r="U49" s="49"/>
      <c r="V49" s="49"/>
      <c r="W49" s="49"/>
    </row>
    <row r="50" spans="1:23" s="1" customFormat="1" ht="11.25" customHeight="1">
      <c r="A50" s="59"/>
      <c r="B50" s="59"/>
      <c r="C50" s="106"/>
      <c r="D50" s="106"/>
      <c r="E50" s="98"/>
      <c r="F50" s="75"/>
      <c r="G50" s="2"/>
      <c r="H50" s="2"/>
      <c r="I50" s="75"/>
      <c r="J50" s="75"/>
      <c r="K50" s="75"/>
      <c r="L50" s="223" t="s">
        <v>89</v>
      </c>
      <c r="M50" s="223"/>
      <c r="N50" s="223"/>
      <c r="O50" s="223"/>
      <c r="P50" s="223"/>
      <c r="Q50" s="223"/>
      <c r="R50" s="223"/>
      <c r="S50" s="223"/>
      <c r="T50" s="12"/>
      <c r="U50" s="19"/>
      <c r="V50" s="19"/>
      <c r="W50" s="19"/>
    </row>
    <row r="51" spans="1:24" s="1" customFormat="1" ht="11.25" customHeight="1">
      <c r="A51" s="236" t="s">
        <v>31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13"/>
      <c r="U51" s="25"/>
      <c r="V51" s="25"/>
      <c r="W51" s="25"/>
      <c r="X51" s="58"/>
    </row>
    <row r="52" spans="1:23" s="1" customFormat="1" ht="11.25" customHeight="1">
      <c r="A52" s="63" t="s">
        <v>66</v>
      </c>
      <c r="B52" s="59"/>
      <c r="C52" s="59"/>
      <c r="D52" s="2"/>
      <c r="E52" s="36"/>
      <c r="F52" s="224" t="s">
        <v>32</v>
      </c>
      <c r="G52" s="224"/>
      <c r="H52" s="224"/>
      <c r="I52" s="75"/>
      <c r="J52" s="75"/>
      <c r="K52" s="222" t="s">
        <v>1</v>
      </c>
      <c r="L52" s="222"/>
      <c r="M52" s="217" t="s">
        <v>85</v>
      </c>
      <c r="N52" s="217"/>
      <c r="O52" s="217"/>
      <c r="P52" s="217"/>
      <c r="Q52" s="75"/>
      <c r="R52" s="75"/>
      <c r="S52" s="75"/>
      <c r="T52" s="14"/>
      <c r="U52" s="20"/>
      <c r="V52" s="20"/>
      <c r="W52" s="20"/>
    </row>
    <row r="53" spans="1:23" s="1" customFormat="1" ht="11.25" customHeight="1">
      <c r="A53" s="59"/>
      <c r="B53" s="59"/>
      <c r="C53" s="59"/>
      <c r="D53" s="222" t="s">
        <v>2</v>
      </c>
      <c r="E53" s="222"/>
      <c r="F53" s="7">
        <v>1</v>
      </c>
      <c r="G53" s="75"/>
      <c r="H53" s="2"/>
      <c r="I53" s="2"/>
      <c r="J53" s="2"/>
      <c r="K53" s="222" t="s">
        <v>3</v>
      </c>
      <c r="L53" s="222"/>
      <c r="M53" s="224" t="s">
        <v>68</v>
      </c>
      <c r="N53" s="224"/>
      <c r="O53" s="224"/>
      <c r="P53" s="224"/>
      <c r="Q53" s="224"/>
      <c r="R53" s="224"/>
      <c r="S53" s="224"/>
      <c r="T53" s="15"/>
      <c r="U53" s="21"/>
      <c r="V53" s="21"/>
      <c r="W53" s="21"/>
    </row>
    <row r="54" spans="1:23" s="1" customFormat="1" ht="21.75" customHeight="1">
      <c r="A54" s="209" t="s">
        <v>4</v>
      </c>
      <c r="B54" s="209" t="s">
        <v>5</v>
      </c>
      <c r="C54" s="209"/>
      <c r="D54" s="209" t="s">
        <v>6</v>
      </c>
      <c r="E54" s="225" t="s">
        <v>7</v>
      </c>
      <c r="F54" s="225"/>
      <c r="G54" s="225"/>
      <c r="H54" s="209" t="s">
        <v>8</v>
      </c>
      <c r="I54" s="225" t="s">
        <v>9</v>
      </c>
      <c r="J54" s="225"/>
      <c r="K54" s="225"/>
      <c r="L54" s="225"/>
      <c r="M54" s="225"/>
      <c r="N54" s="225" t="s">
        <v>10</v>
      </c>
      <c r="O54" s="225"/>
      <c r="P54" s="225"/>
      <c r="Q54" s="225"/>
      <c r="R54" s="225"/>
      <c r="S54" s="225"/>
      <c r="T54" s="9"/>
      <c r="U54" s="22"/>
      <c r="V54" s="22"/>
      <c r="W54" s="22"/>
    </row>
    <row r="55" spans="1:23" s="1" customFormat="1" ht="21" customHeight="1">
      <c r="A55" s="210"/>
      <c r="B55" s="213"/>
      <c r="C55" s="214"/>
      <c r="D55" s="210"/>
      <c r="E55" s="96" t="s">
        <v>11</v>
      </c>
      <c r="F55" s="108" t="s">
        <v>12</v>
      </c>
      <c r="G55" s="108" t="s">
        <v>13</v>
      </c>
      <c r="H55" s="210"/>
      <c r="I55" s="108" t="s">
        <v>14</v>
      </c>
      <c r="J55" s="108" t="s">
        <v>69</v>
      </c>
      <c r="K55" s="108" t="s">
        <v>15</v>
      </c>
      <c r="L55" s="108" t="s">
        <v>16</v>
      </c>
      <c r="M55" s="108" t="s">
        <v>17</v>
      </c>
      <c r="N55" s="108" t="s">
        <v>18</v>
      </c>
      <c r="O55" s="108" t="s">
        <v>19</v>
      </c>
      <c r="P55" s="108" t="s">
        <v>70</v>
      </c>
      <c r="Q55" s="108" t="s">
        <v>71</v>
      </c>
      <c r="R55" s="108" t="s">
        <v>20</v>
      </c>
      <c r="S55" s="108" t="s">
        <v>21</v>
      </c>
      <c r="T55" s="9"/>
      <c r="U55" s="22"/>
      <c r="V55" s="22"/>
      <c r="W55" s="22"/>
    </row>
    <row r="56" spans="1:23" s="1" customFormat="1" ht="11.25" customHeight="1">
      <c r="A56" s="105">
        <v>1</v>
      </c>
      <c r="B56" s="235">
        <v>2</v>
      </c>
      <c r="C56" s="235"/>
      <c r="D56" s="39">
        <v>3</v>
      </c>
      <c r="E56" s="97">
        <v>4</v>
      </c>
      <c r="F56" s="39">
        <v>5</v>
      </c>
      <c r="G56" s="39">
        <v>6</v>
      </c>
      <c r="H56" s="39">
        <v>7</v>
      </c>
      <c r="I56" s="39">
        <v>8</v>
      </c>
      <c r="J56" s="39">
        <v>9</v>
      </c>
      <c r="K56" s="39">
        <v>10</v>
      </c>
      <c r="L56" s="39">
        <v>11</v>
      </c>
      <c r="M56" s="39">
        <v>12</v>
      </c>
      <c r="N56" s="39">
        <v>13</v>
      </c>
      <c r="O56" s="39">
        <v>14</v>
      </c>
      <c r="P56" s="39">
        <v>15</v>
      </c>
      <c r="Q56" s="39">
        <v>16</v>
      </c>
      <c r="R56" s="39">
        <v>17</v>
      </c>
      <c r="S56" s="39">
        <v>18</v>
      </c>
      <c r="T56" s="10"/>
      <c r="U56" s="23"/>
      <c r="V56" s="23"/>
      <c r="W56" s="23"/>
    </row>
    <row r="57" spans="1:23" s="1" customFormat="1" ht="11.25" customHeight="1">
      <c r="A57" s="203" t="s">
        <v>22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5"/>
      <c r="T57" s="11"/>
      <c r="U57" s="24"/>
      <c r="V57" s="24"/>
      <c r="W57" s="24"/>
    </row>
    <row r="58" spans="1:23" s="1" customFormat="1" ht="23.25" customHeight="1">
      <c r="A58" s="147" t="s">
        <v>121</v>
      </c>
      <c r="B58" s="244" t="s">
        <v>123</v>
      </c>
      <c r="C58" s="245"/>
      <c r="D58" s="143" t="s">
        <v>122</v>
      </c>
      <c r="E58" s="144">
        <v>3.06</v>
      </c>
      <c r="F58" s="143">
        <v>3.52</v>
      </c>
      <c r="G58" s="143">
        <v>8.83</v>
      </c>
      <c r="H58" s="148">
        <f aca="true" t="shared" si="10" ref="H58:H63">E58*4+F58*9+G58*4</f>
        <v>79.24000000000001</v>
      </c>
      <c r="I58" s="143">
        <v>0.03</v>
      </c>
      <c r="J58" s="143">
        <v>0.12</v>
      </c>
      <c r="K58" s="143">
        <v>2.8</v>
      </c>
      <c r="L58" s="143">
        <v>2.87</v>
      </c>
      <c r="M58" s="143">
        <v>0.39</v>
      </c>
      <c r="N58" s="143">
        <v>33.1</v>
      </c>
      <c r="O58" s="143">
        <v>49.8</v>
      </c>
      <c r="P58" s="143">
        <v>0.18</v>
      </c>
      <c r="Q58" s="143">
        <v>0</v>
      </c>
      <c r="R58" s="143">
        <v>16.2</v>
      </c>
      <c r="S58" s="143">
        <v>0.76</v>
      </c>
      <c r="T58" s="11"/>
      <c r="U58" s="24"/>
      <c r="V58" s="24"/>
      <c r="W58" s="24"/>
    </row>
    <row r="59" spans="1:23" s="3" customFormat="1" ht="24.75" customHeight="1">
      <c r="A59" s="71">
        <v>71</v>
      </c>
      <c r="B59" s="192" t="s">
        <v>148</v>
      </c>
      <c r="C59" s="193"/>
      <c r="D59" s="84">
        <v>40</v>
      </c>
      <c r="E59" s="118">
        <f>0.5*D59/60</f>
        <v>0.3333333333333333</v>
      </c>
      <c r="F59" s="118">
        <f>0.03*D59/30</f>
        <v>0.04</v>
      </c>
      <c r="G59" s="118">
        <f>1.7*D59/60</f>
        <v>1.1333333333333333</v>
      </c>
      <c r="H59" s="118">
        <f t="shared" si="10"/>
        <v>6.226666666666667</v>
      </c>
      <c r="I59" s="86">
        <v>0.009</v>
      </c>
      <c r="J59" s="118">
        <v>0.01</v>
      </c>
      <c r="K59" s="87">
        <v>3</v>
      </c>
      <c r="L59" s="86">
        <v>0.003</v>
      </c>
      <c r="M59" s="84">
        <v>0.03</v>
      </c>
      <c r="N59" s="118">
        <v>6.9</v>
      </c>
      <c r="O59" s="118">
        <v>12.6</v>
      </c>
      <c r="P59" s="86">
        <v>0.064</v>
      </c>
      <c r="Q59" s="86">
        <v>0.001</v>
      </c>
      <c r="R59" s="118">
        <v>4.2</v>
      </c>
      <c r="S59" s="118">
        <v>0.18</v>
      </c>
      <c r="T59" s="32"/>
      <c r="U59" s="33"/>
      <c r="V59" s="33"/>
      <c r="W59" s="33"/>
    </row>
    <row r="60" spans="1:23" s="75" customFormat="1" ht="21.75" customHeight="1">
      <c r="A60" s="71">
        <v>268</v>
      </c>
      <c r="B60" s="192" t="s">
        <v>131</v>
      </c>
      <c r="C60" s="193"/>
      <c r="D60" s="84">
        <v>90</v>
      </c>
      <c r="E60" s="118">
        <f>14.8*D60/80</f>
        <v>16.65</v>
      </c>
      <c r="F60" s="118">
        <f>20.69*D60/80</f>
        <v>23.27625</v>
      </c>
      <c r="G60" s="118">
        <f>3.81*D60/80</f>
        <v>4.28625</v>
      </c>
      <c r="H60" s="118">
        <f t="shared" si="10"/>
        <v>293.23125</v>
      </c>
      <c r="I60" s="86">
        <f>0.18*D60/80</f>
        <v>0.20249999999999999</v>
      </c>
      <c r="J60" s="118">
        <f>0.12*D60/80</f>
        <v>0.13499999999999998</v>
      </c>
      <c r="K60" s="118">
        <f>0.43*D60/80</f>
        <v>0.48375</v>
      </c>
      <c r="L60" s="86">
        <f>0.04*D60/80</f>
        <v>0.045</v>
      </c>
      <c r="M60" s="86">
        <f>0.01*D60/80</f>
        <v>0.01125</v>
      </c>
      <c r="N60" s="118">
        <f>48.45*D60/80</f>
        <v>54.50625</v>
      </c>
      <c r="O60" s="118">
        <f>177.9*D60/80</f>
        <v>200.1375</v>
      </c>
      <c r="P60" s="86">
        <f>2.28*D60/80</f>
        <v>2.565</v>
      </c>
      <c r="Q60" s="86">
        <f>0.04*D60/80</f>
        <v>0.045</v>
      </c>
      <c r="R60" s="118">
        <f>24.45*D60/80</f>
        <v>27.50625</v>
      </c>
      <c r="S60" s="118">
        <f>1.93*D60/80</f>
        <v>2.1712499999999997</v>
      </c>
      <c r="T60" s="32"/>
      <c r="U60" s="33"/>
      <c r="V60" s="33"/>
      <c r="W60" s="33"/>
    </row>
    <row r="61" spans="1:23" s="3" customFormat="1" ht="15.75" customHeight="1">
      <c r="A61" s="105">
        <v>304</v>
      </c>
      <c r="B61" s="191" t="s">
        <v>56</v>
      </c>
      <c r="C61" s="191"/>
      <c r="D61" s="74">
        <v>150</v>
      </c>
      <c r="E61" s="76">
        <v>3.7</v>
      </c>
      <c r="F61" s="76">
        <v>5.37</v>
      </c>
      <c r="G61" s="76">
        <v>36.68</v>
      </c>
      <c r="H61" s="76">
        <f t="shared" si="10"/>
        <v>209.85</v>
      </c>
      <c r="I61" s="76">
        <v>0.03</v>
      </c>
      <c r="J61" s="76">
        <v>0.02</v>
      </c>
      <c r="K61" s="72">
        <v>0</v>
      </c>
      <c r="L61" s="76">
        <v>0.04</v>
      </c>
      <c r="M61" s="72">
        <v>0</v>
      </c>
      <c r="N61" s="73">
        <v>14.94</v>
      </c>
      <c r="O61" s="73">
        <v>79.38</v>
      </c>
      <c r="P61" s="74">
        <v>0</v>
      </c>
      <c r="Q61" s="80">
        <v>0.001</v>
      </c>
      <c r="R61" s="73">
        <v>27.89</v>
      </c>
      <c r="S61" s="76">
        <v>0.59</v>
      </c>
      <c r="T61" s="78"/>
      <c r="U61" s="79"/>
      <c r="V61" s="79"/>
      <c r="W61" s="79"/>
    </row>
    <row r="62" spans="1:23" s="3" customFormat="1" ht="14.25" customHeight="1">
      <c r="A62" s="105">
        <v>379</v>
      </c>
      <c r="B62" s="192" t="s">
        <v>60</v>
      </c>
      <c r="C62" s="193"/>
      <c r="D62" s="74">
        <v>200</v>
      </c>
      <c r="E62" s="76">
        <v>3.17</v>
      </c>
      <c r="F62" s="76">
        <v>2.68</v>
      </c>
      <c r="G62" s="76">
        <v>15.95</v>
      </c>
      <c r="H62" s="76">
        <f t="shared" si="10"/>
        <v>100.6</v>
      </c>
      <c r="I62" s="76">
        <v>0.04</v>
      </c>
      <c r="J62" s="76">
        <v>0.15</v>
      </c>
      <c r="K62" s="76">
        <v>1.3</v>
      </c>
      <c r="L62" s="77">
        <v>0.03</v>
      </c>
      <c r="M62" s="72">
        <v>0.06</v>
      </c>
      <c r="N62" s="76">
        <v>120.4</v>
      </c>
      <c r="O62" s="73">
        <v>90</v>
      </c>
      <c r="P62" s="76">
        <v>1.1</v>
      </c>
      <c r="Q62" s="77">
        <v>0.01</v>
      </c>
      <c r="R62" s="76">
        <v>14</v>
      </c>
      <c r="S62" s="76">
        <v>0.12</v>
      </c>
      <c r="T62" s="78"/>
      <c r="U62" s="79"/>
      <c r="V62" s="79"/>
      <c r="W62" s="79"/>
    </row>
    <row r="63" spans="1:23" s="3" customFormat="1" ht="13.5" customHeight="1">
      <c r="A63" s="82" t="s">
        <v>90</v>
      </c>
      <c r="B63" s="192" t="s">
        <v>62</v>
      </c>
      <c r="C63" s="193"/>
      <c r="D63" s="74">
        <v>40</v>
      </c>
      <c r="E63" s="76">
        <f>1.52*D63/30</f>
        <v>2.0266666666666664</v>
      </c>
      <c r="F63" s="77">
        <f>0.16*D63/30</f>
        <v>0.21333333333333335</v>
      </c>
      <c r="G63" s="77">
        <f>9.84*D63/30</f>
        <v>13.120000000000001</v>
      </c>
      <c r="H63" s="77">
        <f t="shared" si="10"/>
        <v>62.50666666666667</v>
      </c>
      <c r="I63" s="77">
        <f>0.02*D63/30</f>
        <v>0.02666666666666667</v>
      </c>
      <c r="J63" s="77">
        <f>0.01*D63/30</f>
        <v>0.013333333333333334</v>
      </c>
      <c r="K63" s="77">
        <f>0.44*D63/30</f>
        <v>0.5866666666666667</v>
      </c>
      <c r="L63" s="77">
        <v>0</v>
      </c>
      <c r="M63" s="77">
        <f>0.7*D63/30</f>
        <v>0.9333333333333333</v>
      </c>
      <c r="N63" s="77">
        <f>4*D63/30</f>
        <v>5.333333333333333</v>
      </c>
      <c r="O63" s="77">
        <f>13*D63/30</f>
        <v>17.333333333333332</v>
      </c>
      <c r="P63" s="77">
        <f>0.008*D63/30</f>
        <v>0.010666666666666666</v>
      </c>
      <c r="Q63" s="77">
        <f>0.001*D63/30</f>
        <v>0.0013333333333333333</v>
      </c>
      <c r="R63" s="77">
        <v>0</v>
      </c>
      <c r="S63" s="77">
        <f>0.22*D63/30</f>
        <v>0.29333333333333333</v>
      </c>
      <c r="T63" s="78"/>
      <c r="U63" s="79"/>
      <c r="V63" s="79"/>
      <c r="W63" s="79"/>
    </row>
    <row r="64" spans="1:23" s="3" customFormat="1" ht="12" customHeight="1">
      <c r="A64" s="66" t="s">
        <v>24</v>
      </c>
      <c r="B64" s="67"/>
      <c r="C64" s="67"/>
      <c r="D64" s="126">
        <f aca="true" t="shared" si="11" ref="D64:S64">SUM(D59:D63)</f>
        <v>520</v>
      </c>
      <c r="E64" s="41">
        <f t="shared" si="11"/>
        <v>25.88</v>
      </c>
      <c r="F64" s="40">
        <f t="shared" si="11"/>
        <v>31.579583333333336</v>
      </c>
      <c r="G64" s="40">
        <f t="shared" si="11"/>
        <v>71.16958333333334</v>
      </c>
      <c r="H64" s="40">
        <f t="shared" si="11"/>
        <v>672.4145833333333</v>
      </c>
      <c r="I64" s="41">
        <f t="shared" si="11"/>
        <v>0.30816666666666664</v>
      </c>
      <c r="J64" s="41">
        <f t="shared" si="11"/>
        <v>0.32833333333333325</v>
      </c>
      <c r="K64" s="41">
        <f t="shared" si="11"/>
        <v>5.370416666666667</v>
      </c>
      <c r="L64" s="41">
        <f t="shared" si="11"/>
        <v>0.118</v>
      </c>
      <c r="M64" s="41">
        <f t="shared" si="11"/>
        <v>1.0345833333333334</v>
      </c>
      <c r="N64" s="41">
        <f t="shared" si="11"/>
        <v>202.07958333333335</v>
      </c>
      <c r="O64" s="41">
        <f t="shared" si="11"/>
        <v>399.45083333333326</v>
      </c>
      <c r="P64" s="42">
        <f t="shared" si="11"/>
        <v>3.739666666666667</v>
      </c>
      <c r="Q64" s="42">
        <f t="shared" si="11"/>
        <v>0.058333333333333334</v>
      </c>
      <c r="R64" s="40">
        <f t="shared" si="11"/>
        <v>73.59625</v>
      </c>
      <c r="S64" s="41">
        <f t="shared" si="11"/>
        <v>3.3545833333333333</v>
      </c>
      <c r="T64" s="40"/>
      <c r="U64" s="50"/>
      <c r="V64" s="50"/>
      <c r="W64" s="50"/>
    </row>
    <row r="65" spans="1:23" s="3" customFormat="1" ht="12" customHeight="1">
      <c r="A65" s="219" t="s">
        <v>77</v>
      </c>
      <c r="B65" s="220"/>
      <c r="C65" s="220"/>
      <c r="D65" s="221"/>
      <c r="E65" s="135">
        <f aca="true" t="shared" si="12" ref="E65:S65">E64/E84</f>
        <v>0.33610389610389607</v>
      </c>
      <c r="F65" s="137">
        <f t="shared" si="12"/>
        <v>0.3997415611814346</v>
      </c>
      <c r="G65" s="137">
        <f t="shared" si="12"/>
        <v>0.21244651741293533</v>
      </c>
      <c r="H65" s="137">
        <f t="shared" si="12"/>
        <v>0.2861338652482269</v>
      </c>
      <c r="I65" s="137">
        <f t="shared" si="12"/>
        <v>0.25680555555555556</v>
      </c>
      <c r="J65" s="137">
        <f t="shared" si="12"/>
        <v>0.2345238095238095</v>
      </c>
      <c r="K65" s="137">
        <f t="shared" si="12"/>
        <v>0.08950694444444446</v>
      </c>
      <c r="L65" s="137">
        <f t="shared" si="12"/>
        <v>0.16857142857142857</v>
      </c>
      <c r="M65" s="137">
        <f t="shared" si="12"/>
        <v>0.10345833333333335</v>
      </c>
      <c r="N65" s="137">
        <f t="shared" si="12"/>
        <v>0.18370871212121212</v>
      </c>
      <c r="O65" s="137">
        <f t="shared" si="12"/>
        <v>0.36313712121212116</v>
      </c>
      <c r="P65" s="137">
        <f t="shared" si="12"/>
        <v>0.37396666666666667</v>
      </c>
      <c r="Q65" s="137">
        <f t="shared" si="12"/>
        <v>0.5833333333333333</v>
      </c>
      <c r="R65" s="137">
        <f t="shared" si="12"/>
        <v>0.294385</v>
      </c>
      <c r="S65" s="137">
        <f t="shared" si="12"/>
        <v>0.2795486111111111</v>
      </c>
      <c r="T65" s="51"/>
      <c r="U65" s="50"/>
      <c r="V65" s="50"/>
      <c r="W65" s="50"/>
    </row>
    <row r="66" spans="1:23" s="75" customFormat="1" ht="12" customHeight="1">
      <c r="A66" s="89" t="s">
        <v>110</v>
      </c>
      <c r="B66" s="90"/>
      <c r="C66" s="90"/>
      <c r="D66" s="103"/>
      <c r="E66" s="136">
        <f>E58+E60+E61+E62+E63</f>
        <v>28.606666666666666</v>
      </c>
      <c r="F66" s="136">
        <f aca="true" t="shared" si="13" ref="F66:S66">F58+F60+F61+F62+F63</f>
        <v>35.05958333333333</v>
      </c>
      <c r="G66" s="136">
        <f t="shared" si="13"/>
        <v>78.86625000000001</v>
      </c>
      <c r="H66" s="136">
        <f t="shared" si="13"/>
        <v>745.4279166666666</v>
      </c>
      <c r="I66" s="136">
        <f t="shared" si="13"/>
        <v>0.3291666666666666</v>
      </c>
      <c r="J66" s="136">
        <f t="shared" si="13"/>
        <v>0.43833333333333335</v>
      </c>
      <c r="K66" s="136">
        <f t="shared" si="13"/>
        <v>5.170416666666667</v>
      </c>
      <c r="L66" s="136">
        <f t="shared" si="13"/>
        <v>2.985</v>
      </c>
      <c r="M66" s="136">
        <f t="shared" si="13"/>
        <v>1.3945833333333333</v>
      </c>
      <c r="N66" s="136">
        <f t="shared" si="13"/>
        <v>228.27958333333336</v>
      </c>
      <c r="O66" s="136">
        <f t="shared" si="13"/>
        <v>436.6508333333333</v>
      </c>
      <c r="P66" s="136">
        <f t="shared" si="13"/>
        <v>3.855666666666667</v>
      </c>
      <c r="Q66" s="136">
        <f t="shared" si="13"/>
        <v>0.05733333333333333</v>
      </c>
      <c r="R66" s="136">
        <f t="shared" si="13"/>
        <v>85.59625</v>
      </c>
      <c r="S66" s="136">
        <f t="shared" si="13"/>
        <v>3.934583333333333</v>
      </c>
      <c r="T66" s="51"/>
      <c r="U66" s="50"/>
      <c r="V66" s="50"/>
      <c r="W66" s="50"/>
    </row>
    <row r="67" spans="1:23" s="3" customFormat="1" ht="10.5" customHeight="1">
      <c r="A67" s="203" t="s">
        <v>27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5"/>
      <c r="T67" s="11"/>
      <c r="U67" s="24"/>
      <c r="V67" s="24"/>
      <c r="W67" s="24"/>
    </row>
    <row r="68" spans="1:23" s="75" customFormat="1" ht="13.5" customHeight="1">
      <c r="A68" s="82">
        <v>52</v>
      </c>
      <c r="B68" s="192" t="s">
        <v>63</v>
      </c>
      <c r="C68" s="193"/>
      <c r="D68" s="74">
        <v>60</v>
      </c>
      <c r="E68" s="76">
        <v>0.86</v>
      </c>
      <c r="F68" s="76">
        <v>3.05</v>
      </c>
      <c r="G68" s="76">
        <v>5.13</v>
      </c>
      <c r="H68" s="76">
        <f aca="true" t="shared" si="14" ref="H68:H74">E68*4+F68*9+G68*4</f>
        <v>51.41</v>
      </c>
      <c r="I68" s="76">
        <v>0.01</v>
      </c>
      <c r="J68" s="76">
        <v>0.02</v>
      </c>
      <c r="K68" s="73">
        <v>5.7</v>
      </c>
      <c r="L68" s="76">
        <v>0.01</v>
      </c>
      <c r="M68" s="76">
        <v>0.1</v>
      </c>
      <c r="N68" s="76">
        <v>26.61</v>
      </c>
      <c r="O68" s="76">
        <v>25.64</v>
      </c>
      <c r="P68" s="76">
        <v>0.43</v>
      </c>
      <c r="Q68" s="77">
        <v>0.01</v>
      </c>
      <c r="R68" s="73">
        <v>12.87</v>
      </c>
      <c r="S68" s="76">
        <v>0.84</v>
      </c>
      <c r="T68" s="78"/>
      <c r="U68" s="79"/>
      <c r="V68" s="79"/>
      <c r="W68" s="79"/>
    </row>
    <row r="69" spans="1:23" s="75" customFormat="1" ht="22.5" customHeight="1">
      <c r="A69" s="105">
        <v>113</v>
      </c>
      <c r="B69" s="192" t="s">
        <v>65</v>
      </c>
      <c r="C69" s="193"/>
      <c r="D69" s="72" t="s">
        <v>52</v>
      </c>
      <c r="E69" s="76">
        <v>6.9</v>
      </c>
      <c r="F69" s="77">
        <v>6.95</v>
      </c>
      <c r="G69" s="77">
        <v>18.76</v>
      </c>
      <c r="H69" s="77">
        <f t="shared" si="14"/>
        <v>165.19</v>
      </c>
      <c r="I69" s="77">
        <v>0.18</v>
      </c>
      <c r="J69" s="77">
        <v>0.17</v>
      </c>
      <c r="K69" s="77">
        <v>4.22</v>
      </c>
      <c r="L69" s="77">
        <v>0.82</v>
      </c>
      <c r="M69" s="77">
        <v>0.3</v>
      </c>
      <c r="N69" s="77">
        <v>34.7</v>
      </c>
      <c r="O69" s="77">
        <v>75.88</v>
      </c>
      <c r="P69" s="77">
        <v>0.1</v>
      </c>
      <c r="Q69" s="77">
        <v>0.001</v>
      </c>
      <c r="R69" s="77">
        <v>14.51</v>
      </c>
      <c r="S69" s="77">
        <v>0.99</v>
      </c>
      <c r="T69" s="78"/>
      <c r="U69" s="79"/>
      <c r="V69" s="79"/>
      <c r="W69" s="79"/>
    </row>
    <row r="70" spans="1:23" s="3" customFormat="1" ht="12" customHeight="1">
      <c r="A70" s="82">
        <v>232</v>
      </c>
      <c r="B70" s="192" t="s">
        <v>84</v>
      </c>
      <c r="C70" s="193"/>
      <c r="D70" s="74">
        <v>90</v>
      </c>
      <c r="E70" s="76">
        <f>20.2*D70/100</f>
        <v>18.18</v>
      </c>
      <c r="F70" s="76">
        <f>12.07*D70/100</f>
        <v>10.863</v>
      </c>
      <c r="G70" s="76">
        <f>2.08*D70/100</f>
        <v>1.872</v>
      </c>
      <c r="H70" s="76">
        <f t="shared" si="14"/>
        <v>177.975</v>
      </c>
      <c r="I70" s="76">
        <f>0.2*D70/100</f>
        <v>0.18</v>
      </c>
      <c r="J70" s="76">
        <f>0.17*D70/100</f>
        <v>0.153</v>
      </c>
      <c r="K70" s="76">
        <f>2.63*D70/100</f>
        <v>2.367</v>
      </c>
      <c r="L70" s="77">
        <f>D70*0.025/80</f>
        <v>0.028125</v>
      </c>
      <c r="M70" s="76">
        <v>0.3</v>
      </c>
      <c r="N70" s="76">
        <f>D70*68.89/80</f>
        <v>77.50125</v>
      </c>
      <c r="O70" s="76">
        <f>D70*33.41/80</f>
        <v>37.58624999999999</v>
      </c>
      <c r="P70" s="73">
        <v>0.8</v>
      </c>
      <c r="Q70" s="73">
        <v>0.04</v>
      </c>
      <c r="R70" s="76">
        <f>D70*23.17/80</f>
        <v>26.066250000000004</v>
      </c>
      <c r="S70" s="76">
        <f>D70*0.73/80</f>
        <v>0.82125</v>
      </c>
      <c r="T70" s="78"/>
      <c r="U70" s="79"/>
      <c r="V70" s="79"/>
      <c r="W70" s="79"/>
    </row>
    <row r="71" spans="1:23" s="3" customFormat="1" ht="12" customHeight="1">
      <c r="A71" s="82">
        <v>312</v>
      </c>
      <c r="B71" s="192" t="s">
        <v>49</v>
      </c>
      <c r="C71" s="193"/>
      <c r="D71" s="74">
        <v>150</v>
      </c>
      <c r="E71" s="76">
        <f>D71*3.29/150</f>
        <v>3.29</v>
      </c>
      <c r="F71" s="76">
        <f>D71*7.06/150</f>
        <v>7.06</v>
      </c>
      <c r="G71" s="76">
        <f>D71*22.21/150</f>
        <v>22.21</v>
      </c>
      <c r="H71" s="76">
        <f t="shared" si="14"/>
        <v>165.54000000000002</v>
      </c>
      <c r="I71" s="76">
        <f>D71*0.16/150</f>
        <v>0.16</v>
      </c>
      <c r="J71" s="76">
        <f>D71*0.13/150</f>
        <v>0.13</v>
      </c>
      <c r="K71" s="76">
        <f>D71*0.73/150</f>
        <v>0.73</v>
      </c>
      <c r="L71" s="77">
        <f>D71*0.08/150</f>
        <v>0.08</v>
      </c>
      <c r="M71" s="72">
        <f>1.5*D71/150</f>
        <v>1.5</v>
      </c>
      <c r="N71" s="76">
        <f>D71*42.54/150</f>
        <v>42.54</v>
      </c>
      <c r="O71" s="73">
        <f>D71*97.75/150</f>
        <v>97.75</v>
      </c>
      <c r="P71" s="77">
        <f>0.299*D71/150</f>
        <v>0.299</v>
      </c>
      <c r="Q71" s="77">
        <f>0.001*D71/150</f>
        <v>0.001</v>
      </c>
      <c r="R71" s="76">
        <f>D71*33.06/150</f>
        <v>33.06</v>
      </c>
      <c r="S71" s="76">
        <f>D71*1.19/150</f>
        <v>1.19</v>
      </c>
      <c r="T71" s="78"/>
      <c r="U71" s="79"/>
      <c r="V71" s="79"/>
      <c r="W71" s="79"/>
    </row>
    <row r="72" spans="1:23" s="3" customFormat="1" ht="21.75" customHeight="1">
      <c r="A72" s="82">
        <v>349</v>
      </c>
      <c r="B72" s="192" t="s">
        <v>53</v>
      </c>
      <c r="C72" s="193"/>
      <c r="D72" s="74">
        <v>200</v>
      </c>
      <c r="E72" s="76">
        <v>0.22</v>
      </c>
      <c r="F72" s="72"/>
      <c r="G72" s="76">
        <v>24.42</v>
      </c>
      <c r="H72" s="76">
        <f t="shared" si="14"/>
        <v>98.56</v>
      </c>
      <c r="I72" s="72"/>
      <c r="J72" s="72"/>
      <c r="K72" s="76">
        <v>26.11</v>
      </c>
      <c r="L72" s="72"/>
      <c r="M72" s="72"/>
      <c r="N72" s="73">
        <v>22.6</v>
      </c>
      <c r="O72" s="73">
        <v>7.7</v>
      </c>
      <c r="P72" s="74">
        <v>0</v>
      </c>
      <c r="Q72" s="74">
        <v>0</v>
      </c>
      <c r="R72" s="73">
        <v>3</v>
      </c>
      <c r="S72" s="76">
        <v>0.66</v>
      </c>
      <c r="T72" s="78"/>
      <c r="U72" s="79"/>
      <c r="V72" s="79"/>
      <c r="W72" s="79"/>
    </row>
    <row r="73" spans="1:23" s="3" customFormat="1" ht="11.25" customHeight="1">
      <c r="A73" s="83" t="s">
        <v>90</v>
      </c>
      <c r="B73" s="192" t="s">
        <v>48</v>
      </c>
      <c r="C73" s="193"/>
      <c r="D73" s="74">
        <v>40</v>
      </c>
      <c r="E73" s="76">
        <f>2.64*D73/40</f>
        <v>2.64</v>
      </c>
      <c r="F73" s="76">
        <f>0.48*D73/40</f>
        <v>0.48</v>
      </c>
      <c r="G73" s="76">
        <f>13.68*D73/40</f>
        <v>13.680000000000001</v>
      </c>
      <c r="H73" s="73">
        <f t="shared" si="14"/>
        <v>69.60000000000001</v>
      </c>
      <c r="I73" s="72">
        <f>0.08*D73/40</f>
        <v>0.08</v>
      </c>
      <c r="J73" s="76">
        <f>0.04*D73/40</f>
        <v>0.04</v>
      </c>
      <c r="K73" s="74">
        <v>0</v>
      </c>
      <c r="L73" s="74">
        <v>0</v>
      </c>
      <c r="M73" s="76">
        <f>2.4*D73/40</f>
        <v>2.4</v>
      </c>
      <c r="N73" s="76">
        <f>14*D73/40</f>
        <v>14</v>
      </c>
      <c r="O73" s="76">
        <f>63.2*D73/40</f>
        <v>63.2</v>
      </c>
      <c r="P73" s="76">
        <f>1.2*D73/40</f>
        <v>1.2</v>
      </c>
      <c r="Q73" s="77">
        <f>0.001*D73/40</f>
        <v>0.001</v>
      </c>
      <c r="R73" s="76">
        <f>9.4*D73/40</f>
        <v>9.4</v>
      </c>
      <c r="S73" s="72">
        <f>0.78*D73/40</f>
        <v>0.78</v>
      </c>
      <c r="T73" s="30"/>
      <c r="U73" s="31"/>
      <c r="V73" s="31"/>
      <c r="W73" s="31"/>
    </row>
    <row r="74" spans="1:23" s="3" customFormat="1" ht="11.25" customHeight="1">
      <c r="A74" s="82" t="s">
        <v>90</v>
      </c>
      <c r="B74" s="192" t="s">
        <v>62</v>
      </c>
      <c r="C74" s="193"/>
      <c r="D74" s="74">
        <v>30</v>
      </c>
      <c r="E74" s="76">
        <f>1.52*D74/30</f>
        <v>1.52</v>
      </c>
      <c r="F74" s="77">
        <f>0.16*D74/30</f>
        <v>0.16</v>
      </c>
      <c r="G74" s="77">
        <f>9.84*D74/30</f>
        <v>9.84</v>
      </c>
      <c r="H74" s="77">
        <f t="shared" si="14"/>
        <v>46.879999999999995</v>
      </c>
      <c r="I74" s="77">
        <f>0.02*D74/30</f>
        <v>0.02</v>
      </c>
      <c r="J74" s="77">
        <f>0.01*D74/30</f>
        <v>0.01</v>
      </c>
      <c r="K74" s="77">
        <f>0.44*D74/30</f>
        <v>0.44</v>
      </c>
      <c r="L74" s="77">
        <v>0</v>
      </c>
      <c r="M74" s="77">
        <f>0.7*D74/30</f>
        <v>0.7</v>
      </c>
      <c r="N74" s="77">
        <f>4*D74/30</f>
        <v>4</v>
      </c>
      <c r="O74" s="77">
        <f>13*D74/30</f>
        <v>13</v>
      </c>
      <c r="P74" s="77">
        <f>0.008*D74/30</f>
        <v>0.008</v>
      </c>
      <c r="Q74" s="77">
        <f>0.001*D74/30</f>
        <v>0.001</v>
      </c>
      <c r="R74" s="77">
        <v>0</v>
      </c>
      <c r="S74" s="77">
        <f>0.22*D74/30</f>
        <v>0.22</v>
      </c>
      <c r="T74" s="78"/>
      <c r="U74" s="79"/>
      <c r="V74" s="79"/>
      <c r="W74" s="79"/>
    </row>
    <row r="75" spans="1:23" s="3" customFormat="1" ht="11.25" customHeight="1">
      <c r="A75" s="66" t="s">
        <v>28</v>
      </c>
      <c r="B75" s="67"/>
      <c r="C75" s="67"/>
      <c r="D75" s="126">
        <v>780</v>
      </c>
      <c r="E75" s="41">
        <f>SUM(E68:E74)</f>
        <v>33.61</v>
      </c>
      <c r="F75" s="40">
        <f>SUM(F68:F74)</f>
        <v>28.563</v>
      </c>
      <c r="G75" s="40">
        <f>SUM(G68:G74)</f>
        <v>95.912</v>
      </c>
      <c r="H75" s="40">
        <f>SUM(H68:H74)</f>
        <v>775.155</v>
      </c>
      <c r="I75" s="41">
        <f aca="true" t="shared" si="15" ref="I75:S75">SUM(I68:I74)</f>
        <v>0.63</v>
      </c>
      <c r="J75" s="41">
        <f t="shared" si="15"/>
        <v>0.523</v>
      </c>
      <c r="K75" s="41">
        <f t="shared" si="15"/>
        <v>39.56699999999999</v>
      </c>
      <c r="L75" s="41">
        <f t="shared" si="15"/>
        <v>0.9381249999999999</v>
      </c>
      <c r="M75" s="41">
        <f t="shared" si="15"/>
        <v>5.3</v>
      </c>
      <c r="N75" s="41">
        <f t="shared" si="15"/>
        <v>221.95125</v>
      </c>
      <c r="O75" s="41">
        <f t="shared" si="15"/>
        <v>320.75624999999997</v>
      </c>
      <c r="P75" s="41">
        <f t="shared" si="15"/>
        <v>2.8369999999999997</v>
      </c>
      <c r="Q75" s="42">
        <f t="shared" si="15"/>
        <v>0.054000000000000006</v>
      </c>
      <c r="R75" s="41">
        <f t="shared" si="15"/>
        <v>98.90625000000001</v>
      </c>
      <c r="S75" s="41">
        <f t="shared" si="15"/>
        <v>5.50125</v>
      </c>
      <c r="T75" s="40"/>
      <c r="U75" s="50"/>
      <c r="V75" s="50"/>
      <c r="W75" s="50"/>
    </row>
    <row r="76" spans="1:23" s="3" customFormat="1" ht="11.25" customHeight="1">
      <c r="A76" s="219" t="s">
        <v>77</v>
      </c>
      <c r="B76" s="220"/>
      <c r="C76" s="220"/>
      <c r="D76" s="221"/>
      <c r="E76" s="135">
        <f>E75/E84</f>
        <v>0.4364935064935065</v>
      </c>
      <c r="F76" s="129">
        <f aca="true" t="shared" si="16" ref="F76:S76">F75/F84</f>
        <v>0.36155696202531645</v>
      </c>
      <c r="G76" s="129">
        <f t="shared" si="16"/>
        <v>0.28630447761194033</v>
      </c>
      <c r="H76" s="129">
        <f t="shared" si="16"/>
        <v>0.3298531914893617</v>
      </c>
      <c r="I76" s="129">
        <f t="shared" si="16"/>
        <v>0.525</v>
      </c>
      <c r="J76" s="129">
        <f t="shared" si="16"/>
        <v>0.3735714285714286</v>
      </c>
      <c r="K76" s="129">
        <f t="shared" si="16"/>
        <v>0.6594499999999999</v>
      </c>
      <c r="L76" s="129">
        <f t="shared" si="16"/>
        <v>1.3401785714285714</v>
      </c>
      <c r="M76" s="129">
        <f t="shared" si="16"/>
        <v>0.53</v>
      </c>
      <c r="N76" s="129">
        <f t="shared" si="16"/>
        <v>0.20177386363636363</v>
      </c>
      <c r="O76" s="129">
        <f t="shared" si="16"/>
        <v>0.2915965909090909</v>
      </c>
      <c r="P76" s="129">
        <f t="shared" si="16"/>
        <v>0.28369999999999995</v>
      </c>
      <c r="Q76" s="129">
        <f t="shared" si="16"/>
        <v>0.54</v>
      </c>
      <c r="R76" s="129">
        <f t="shared" si="16"/>
        <v>0.39562500000000006</v>
      </c>
      <c r="S76" s="129">
        <f t="shared" si="16"/>
        <v>0.4584375</v>
      </c>
      <c r="T76" s="51"/>
      <c r="U76" s="50"/>
      <c r="V76" s="50"/>
      <c r="W76" s="50"/>
    </row>
    <row r="77" spans="1:23" s="3" customFormat="1" ht="11.25" customHeight="1">
      <c r="A77" s="203" t="s">
        <v>29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5"/>
      <c r="T77" s="11"/>
      <c r="U77" s="24"/>
      <c r="V77" s="24"/>
      <c r="W77" s="24"/>
    </row>
    <row r="78" spans="1:23" s="75" customFormat="1" ht="11.25" customHeight="1">
      <c r="A78" s="70">
        <v>338</v>
      </c>
      <c r="B78" s="192" t="s">
        <v>169</v>
      </c>
      <c r="C78" s="193"/>
      <c r="D78" s="74">
        <v>100</v>
      </c>
      <c r="E78" s="76">
        <v>0.9</v>
      </c>
      <c r="F78" s="76">
        <v>0.2</v>
      </c>
      <c r="G78" s="76">
        <v>8.1</v>
      </c>
      <c r="H78" s="76">
        <f>E78*4+F78*9+G78*4</f>
        <v>37.8</v>
      </c>
      <c r="I78" s="76">
        <f>D78*0.02/50</f>
        <v>0.04</v>
      </c>
      <c r="J78" s="76">
        <v>0.03</v>
      </c>
      <c r="K78" s="76">
        <v>60</v>
      </c>
      <c r="L78" s="76">
        <v>0.005</v>
      </c>
      <c r="M78" s="72">
        <f>D78*0.1/50</f>
        <v>0.2</v>
      </c>
      <c r="N78" s="76">
        <v>34</v>
      </c>
      <c r="O78" s="76">
        <v>23</v>
      </c>
      <c r="P78" s="77">
        <v>0.2</v>
      </c>
      <c r="Q78" s="76">
        <v>0.002</v>
      </c>
      <c r="R78" s="76">
        <v>15</v>
      </c>
      <c r="S78" s="76">
        <v>0.3</v>
      </c>
      <c r="T78" s="11"/>
      <c r="U78" s="24"/>
      <c r="V78" s="24"/>
      <c r="W78" s="24"/>
    </row>
    <row r="79" spans="1:23" s="3" customFormat="1" ht="11.25" customHeight="1">
      <c r="A79" s="121" t="s">
        <v>90</v>
      </c>
      <c r="B79" s="191" t="s">
        <v>149</v>
      </c>
      <c r="C79" s="191"/>
      <c r="D79" s="74">
        <v>65</v>
      </c>
      <c r="E79" s="76">
        <v>4.76</v>
      </c>
      <c r="F79" s="76">
        <v>3.39</v>
      </c>
      <c r="G79" s="76">
        <v>30.27</v>
      </c>
      <c r="H79" s="76">
        <f>E79*4+F79*9+G79*4</f>
        <v>170.63</v>
      </c>
      <c r="I79" s="76">
        <v>0.08</v>
      </c>
      <c r="J79" s="76">
        <v>0.27</v>
      </c>
      <c r="K79" s="76">
        <v>0.01</v>
      </c>
      <c r="L79" s="76">
        <v>0.15</v>
      </c>
      <c r="M79" s="76">
        <v>0.84</v>
      </c>
      <c r="N79" s="76">
        <v>14.71</v>
      </c>
      <c r="O79" s="76">
        <v>73.7</v>
      </c>
      <c r="P79" s="76">
        <v>1.43</v>
      </c>
      <c r="Q79" s="76">
        <v>0.01</v>
      </c>
      <c r="R79" s="76">
        <v>11.4</v>
      </c>
      <c r="S79" s="76">
        <v>0.6</v>
      </c>
      <c r="T79" s="78"/>
      <c r="U79" s="79"/>
      <c r="V79" s="79"/>
      <c r="W79" s="79"/>
    </row>
    <row r="80" spans="1:23" s="3" customFormat="1" ht="12" customHeight="1">
      <c r="A80" s="105">
        <v>389</v>
      </c>
      <c r="B80" s="192" t="s">
        <v>129</v>
      </c>
      <c r="C80" s="193"/>
      <c r="D80" s="74">
        <v>200</v>
      </c>
      <c r="E80" s="76">
        <v>1</v>
      </c>
      <c r="F80" s="76">
        <v>0.2</v>
      </c>
      <c r="G80" s="76">
        <v>20.2</v>
      </c>
      <c r="H80" s="76">
        <f>E80*4+F80*9+G80*4</f>
        <v>86.6</v>
      </c>
      <c r="I80" s="72">
        <v>0.02</v>
      </c>
      <c r="J80" s="72">
        <v>0.02</v>
      </c>
      <c r="K80" s="73">
        <v>4.8</v>
      </c>
      <c r="L80" s="72">
        <v>0</v>
      </c>
      <c r="M80" s="72">
        <v>0</v>
      </c>
      <c r="N80" s="73">
        <v>14</v>
      </c>
      <c r="O80" s="73">
        <v>18</v>
      </c>
      <c r="P80" s="73">
        <v>0.03</v>
      </c>
      <c r="Q80" s="73">
        <v>0</v>
      </c>
      <c r="R80" s="73">
        <v>8</v>
      </c>
      <c r="S80" s="76">
        <v>0.72</v>
      </c>
      <c r="T80" s="78"/>
      <c r="U80" s="79"/>
      <c r="V80" s="79"/>
      <c r="W80" s="79"/>
    </row>
    <row r="81" spans="1:23" s="1" customFormat="1" ht="11.25" customHeight="1">
      <c r="A81" s="66" t="s">
        <v>30</v>
      </c>
      <c r="B81" s="67"/>
      <c r="C81" s="67"/>
      <c r="D81" s="130">
        <f>SUM(D78:D80)</f>
        <v>365</v>
      </c>
      <c r="E81" s="41">
        <f>SUM(E78:E80)</f>
        <v>6.66</v>
      </c>
      <c r="F81" s="40">
        <f aca="true" t="shared" si="17" ref="F81:S81">SUM(F78:F80)</f>
        <v>3.7900000000000005</v>
      </c>
      <c r="G81" s="40">
        <f t="shared" si="17"/>
        <v>58.56999999999999</v>
      </c>
      <c r="H81" s="40">
        <f t="shared" si="17"/>
        <v>295.03</v>
      </c>
      <c r="I81" s="40">
        <f t="shared" si="17"/>
        <v>0.13999999999999999</v>
      </c>
      <c r="J81" s="40">
        <f t="shared" si="17"/>
        <v>0.32000000000000006</v>
      </c>
      <c r="K81" s="40">
        <f t="shared" si="17"/>
        <v>64.81</v>
      </c>
      <c r="L81" s="40">
        <f t="shared" si="17"/>
        <v>0.155</v>
      </c>
      <c r="M81" s="40">
        <f t="shared" si="17"/>
        <v>1.04</v>
      </c>
      <c r="N81" s="40">
        <f t="shared" si="17"/>
        <v>62.71</v>
      </c>
      <c r="O81" s="40">
        <f t="shared" si="17"/>
        <v>114.7</v>
      </c>
      <c r="P81" s="40">
        <f t="shared" si="17"/>
        <v>1.66</v>
      </c>
      <c r="Q81" s="40">
        <f t="shared" si="17"/>
        <v>0.012</v>
      </c>
      <c r="R81" s="40">
        <f t="shared" si="17"/>
        <v>34.4</v>
      </c>
      <c r="S81" s="40">
        <f t="shared" si="17"/>
        <v>1.6199999999999999</v>
      </c>
      <c r="T81" s="40"/>
      <c r="U81" s="50"/>
      <c r="V81" s="50"/>
      <c r="W81" s="50"/>
    </row>
    <row r="82" spans="1:23" s="1" customFormat="1" ht="11.25" customHeight="1">
      <c r="A82" s="219" t="s">
        <v>77</v>
      </c>
      <c r="B82" s="220"/>
      <c r="C82" s="220"/>
      <c r="D82" s="221"/>
      <c r="E82" s="128">
        <f>E81/E84</f>
        <v>0.0864935064935065</v>
      </c>
      <c r="F82" s="129">
        <f aca="true" t="shared" si="18" ref="F82:S82">F81/F84</f>
        <v>0.0479746835443038</v>
      </c>
      <c r="G82" s="129">
        <f t="shared" si="18"/>
        <v>0.17483582089552238</v>
      </c>
      <c r="H82" s="129">
        <f t="shared" si="18"/>
        <v>0.12554468085106382</v>
      </c>
      <c r="I82" s="129">
        <f t="shared" si="18"/>
        <v>0.11666666666666665</v>
      </c>
      <c r="J82" s="129">
        <f t="shared" si="18"/>
        <v>0.22857142857142862</v>
      </c>
      <c r="K82" s="129">
        <f t="shared" si="18"/>
        <v>1.0801666666666667</v>
      </c>
      <c r="L82" s="129">
        <f t="shared" si="18"/>
        <v>0.22142857142857145</v>
      </c>
      <c r="M82" s="129">
        <f t="shared" si="18"/>
        <v>0.10400000000000001</v>
      </c>
      <c r="N82" s="129">
        <f t="shared" si="18"/>
        <v>0.05700909090909091</v>
      </c>
      <c r="O82" s="129">
        <f t="shared" si="18"/>
        <v>0.10427272727272728</v>
      </c>
      <c r="P82" s="129">
        <f t="shared" si="18"/>
        <v>0.16599999999999998</v>
      </c>
      <c r="Q82" s="129">
        <f t="shared" si="18"/>
        <v>0.12</v>
      </c>
      <c r="R82" s="129">
        <f t="shared" si="18"/>
        <v>0.1376</v>
      </c>
      <c r="S82" s="129">
        <f t="shared" si="18"/>
        <v>0.13499999999999998</v>
      </c>
      <c r="T82" s="64"/>
      <c r="U82" s="50"/>
      <c r="V82" s="50"/>
      <c r="W82" s="50"/>
    </row>
    <row r="83" spans="1:23" s="1" customFormat="1" ht="11.25" customHeight="1">
      <c r="A83" s="219" t="s">
        <v>76</v>
      </c>
      <c r="B83" s="220"/>
      <c r="C83" s="220"/>
      <c r="D83" s="221"/>
      <c r="E83" s="41">
        <f aca="true" t="shared" si="19" ref="E83:S83">SUM(E64,E75,E81)</f>
        <v>66.14999999999999</v>
      </c>
      <c r="F83" s="40">
        <f t="shared" si="19"/>
        <v>63.93258333333333</v>
      </c>
      <c r="G83" s="40">
        <f t="shared" si="19"/>
        <v>225.65158333333335</v>
      </c>
      <c r="H83" s="40">
        <f t="shared" si="19"/>
        <v>1742.5995833333334</v>
      </c>
      <c r="I83" s="41">
        <f t="shared" si="19"/>
        <v>1.0781666666666665</v>
      </c>
      <c r="J83" s="41">
        <f t="shared" si="19"/>
        <v>1.1713333333333333</v>
      </c>
      <c r="K83" s="52">
        <f t="shared" si="19"/>
        <v>109.74741666666667</v>
      </c>
      <c r="L83" s="41">
        <f t="shared" si="19"/>
        <v>1.2111249999999998</v>
      </c>
      <c r="M83" s="52">
        <f t="shared" si="19"/>
        <v>7.374583333333333</v>
      </c>
      <c r="N83" s="40">
        <f t="shared" si="19"/>
        <v>486.74083333333334</v>
      </c>
      <c r="O83" s="41">
        <f t="shared" si="19"/>
        <v>834.9070833333333</v>
      </c>
      <c r="P83" s="40">
        <f t="shared" si="19"/>
        <v>8.236666666666666</v>
      </c>
      <c r="Q83" s="42">
        <f t="shared" si="19"/>
        <v>0.12433333333333334</v>
      </c>
      <c r="R83" s="41">
        <f t="shared" si="19"/>
        <v>206.9025</v>
      </c>
      <c r="S83" s="41">
        <f t="shared" si="19"/>
        <v>10.475833333333332</v>
      </c>
      <c r="T83" s="53"/>
      <c r="U83" s="43"/>
      <c r="V83" s="43"/>
      <c r="W83" s="43"/>
    </row>
    <row r="84" spans="1:23" s="1" customFormat="1" ht="11.25" customHeight="1">
      <c r="A84" s="219" t="s">
        <v>78</v>
      </c>
      <c r="B84" s="220"/>
      <c r="C84" s="220"/>
      <c r="D84" s="221"/>
      <c r="E84" s="76">
        <v>77</v>
      </c>
      <c r="F84" s="73">
        <v>79</v>
      </c>
      <c r="G84" s="73">
        <v>335</v>
      </c>
      <c r="H84" s="73">
        <v>2350</v>
      </c>
      <c r="I84" s="76">
        <v>1.2</v>
      </c>
      <c r="J84" s="76">
        <v>1.4</v>
      </c>
      <c r="K84" s="74">
        <v>60</v>
      </c>
      <c r="L84" s="76">
        <v>0.7</v>
      </c>
      <c r="M84" s="74">
        <v>10</v>
      </c>
      <c r="N84" s="74">
        <v>1100</v>
      </c>
      <c r="O84" s="74">
        <v>1100</v>
      </c>
      <c r="P84" s="74">
        <v>10</v>
      </c>
      <c r="Q84" s="73">
        <v>0.1</v>
      </c>
      <c r="R84" s="74">
        <v>250</v>
      </c>
      <c r="S84" s="76">
        <v>12</v>
      </c>
      <c r="T84" s="78"/>
      <c r="U84" s="79"/>
      <c r="V84" s="79"/>
      <c r="W84" s="79"/>
    </row>
    <row r="85" spans="1:23" s="8" customFormat="1" ht="11.25" customHeight="1">
      <c r="A85" s="229" t="s">
        <v>77</v>
      </c>
      <c r="B85" s="230"/>
      <c r="C85" s="230"/>
      <c r="D85" s="231"/>
      <c r="E85" s="81">
        <f aca="true" t="shared" si="20" ref="E85:S85">E83/E84</f>
        <v>0.859090909090909</v>
      </c>
      <c r="F85" s="46">
        <f t="shared" si="20"/>
        <v>0.8092732067510549</v>
      </c>
      <c r="G85" s="46">
        <f t="shared" si="20"/>
        <v>0.673586815920398</v>
      </c>
      <c r="H85" s="46">
        <f t="shared" si="20"/>
        <v>0.7415317375886525</v>
      </c>
      <c r="I85" s="46">
        <f t="shared" si="20"/>
        <v>0.8984722222222221</v>
      </c>
      <c r="J85" s="46">
        <f t="shared" si="20"/>
        <v>0.8366666666666667</v>
      </c>
      <c r="K85" s="46">
        <f t="shared" si="20"/>
        <v>1.829123611111111</v>
      </c>
      <c r="L85" s="47">
        <f t="shared" si="20"/>
        <v>1.7301785714285711</v>
      </c>
      <c r="M85" s="47">
        <f t="shared" si="20"/>
        <v>0.7374583333333333</v>
      </c>
      <c r="N85" s="46">
        <f t="shared" si="20"/>
        <v>0.44249166666666667</v>
      </c>
      <c r="O85" s="46">
        <f t="shared" si="20"/>
        <v>0.7590064393939393</v>
      </c>
      <c r="P85" s="46">
        <f t="shared" si="20"/>
        <v>0.8236666666666667</v>
      </c>
      <c r="Q85" s="47">
        <f t="shared" si="20"/>
        <v>1.2433333333333334</v>
      </c>
      <c r="R85" s="46">
        <f t="shared" si="20"/>
        <v>0.8276100000000001</v>
      </c>
      <c r="S85" s="46">
        <f t="shared" si="20"/>
        <v>0.872986111111111</v>
      </c>
      <c r="T85" s="54"/>
      <c r="U85" s="55"/>
      <c r="V85" s="55"/>
      <c r="W85" s="55"/>
    </row>
    <row r="86" spans="1:23" s="1" customFormat="1" ht="11.25" customHeight="1">
      <c r="A86" s="59" t="s">
        <v>128</v>
      </c>
      <c r="B86" s="59"/>
      <c r="C86" s="106"/>
      <c r="D86" s="106"/>
      <c r="E86" s="98"/>
      <c r="F86" s="75"/>
      <c r="G86" s="2"/>
      <c r="H86" s="2"/>
      <c r="I86" s="75"/>
      <c r="J86" s="75"/>
      <c r="K86" s="75"/>
      <c r="L86" s="223"/>
      <c r="M86" s="223"/>
      <c r="N86" s="223"/>
      <c r="O86" s="223"/>
      <c r="P86" s="223"/>
      <c r="Q86" s="223"/>
      <c r="R86" s="223"/>
      <c r="S86" s="223"/>
      <c r="T86" s="12"/>
      <c r="U86" s="19"/>
      <c r="V86" s="19"/>
      <c r="W86" s="19"/>
    </row>
    <row r="87" spans="1:23" s="1" customFormat="1" ht="11.25" customHeight="1">
      <c r="A87" s="59" t="s">
        <v>172</v>
      </c>
      <c r="B87" s="59"/>
      <c r="C87" s="166"/>
      <c r="D87" s="166"/>
      <c r="E87" s="98"/>
      <c r="F87" s="75"/>
      <c r="G87" s="2"/>
      <c r="H87" s="2"/>
      <c r="I87" s="75"/>
      <c r="J87" s="75"/>
      <c r="K87" s="75"/>
      <c r="L87" s="162"/>
      <c r="M87" s="162"/>
      <c r="N87" s="162"/>
      <c r="O87" s="162"/>
      <c r="P87" s="162"/>
      <c r="Q87" s="162"/>
      <c r="R87" s="162"/>
      <c r="S87" s="162"/>
      <c r="T87" s="12"/>
      <c r="U87" s="19"/>
      <c r="V87" s="19"/>
      <c r="W87" s="19"/>
    </row>
    <row r="88" spans="1:23" s="1" customFormat="1" ht="11.25" customHeight="1">
      <c r="A88" s="59"/>
      <c r="B88" s="59"/>
      <c r="C88" s="106"/>
      <c r="D88" s="106"/>
      <c r="E88" s="98"/>
      <c r="F88" s="75"/>
      <c r="G88" s="2"/>
      <c r="H88" s="2"/>
      <c r="I88" s="75"/>
      <c r="J88" s="75"/>
      <c r="K88" s="75"/>
      <c r="L88" s="162"/>
      <c r="M88" s="107"/>
      <c r="N88" s="107"/>
      <c r="O88" s="107"/>
      <c r="P88" s="107"/>
      <c r="Q88" s="107"/>
      <c r="R88" s="107"/>
      <c r="S88" s="162" t="s">
        <v>89</v>
      </c>
      <c r="T88" s="12"/>
      <c r="U88" s="19"/>
      <c r="V88" s="19"/>
      <c r="W88" s="19"/>
    </row>
    <row r="89" spans="1:23" s="1" customFormat="1" ht="11.25" customHeight="1">
      <c r="A89" s="236" t="s">
        <v>33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13"/>
      <c r="U89" s="25"/>
      <c r="V89" s="25"/>
      <c r="W89" s="25"/>
    </row>
    <row r="90" spans="1:23" s="1" customFormat="1" ht="11.25" customHeight="1">
      <c r="A90" s="63" t="s">
        <v>67</v>
      </c>
      <c r="B90" s="59"/>
      <c r="C90" s="59"/>
      <c r="D90" s="2"/>
      <c r="E90" s="36"/>
      <c r="F90" s="224" t="s">
        <v>34</v>
      </c>
      <c r="G90" s="224"/>
      <c r="H90" s="224"/>
      <c r="I90" s="75"/>
      <c r="J90" s="75"/>
      <c r="K90" s="222" t="s">
        <v>1</v>
      </c>
      <c r="L90" s="222"/>
      <c r="M90" s="217" t="s">
        <v>85</v>
      </c>
      <c r="N90" s="217"/>
      <c r="O90" s="217"/>
      <c r="P90" s="217"/>
      <c r="Q90" s="75"/>
      <c r="R90" s="75"/>
      <c r="S90" s="75"/>
      <c r="T90" s="14"/>
      <c r="U90" s="20"/>
      <c r="V90" s="20"/>
      <c r="W90" s="20"/>
    </row>
    <row r="91" spans="1:23" s="1" customFormat="1" ht="11.25" customHeight="1">
      <c r="A91" s="59"/>
      <c r="B91" s="59"/>
      <c r="C91" s="59"/>
      <c r="D91" s="227" t="s">
        <v>2</v>
      </c>
      <c r="E91" s="227"/>
      <c r="F91" s="7">
        <v>1</v>
      </c>
      <c r="G91" s="75"/>
      <c r="H91" s="2"/>
      <c r="I91" s="2"/>
      <c r="J91" s="2"/>
      <c r="K91" s="227" t="s">
        <v>3</v>
      </c>
      <c r="L91" s="227"/>
      <c r="M91" s="228" t="s">
        <v>68</v>
      </c>
      <c r="N91" s="228"/>
      <c r="O91" s="228"/>
      <c r="P91" s="228"/>
      <c r="Q91" s="228"/>
      <c r="R91" s="228"/>
      <c r="S91" s="228"/>
      <c r="T91" s="15"/>
      <c r="U91" s="21"/>
      <c r="V91" s="21"/>
      <c r="W91" s="21"/>
    </row>
    <row r="92" spans="1:23" s="1" customFormat="1" ht="21.75" customHeight="1">
      <c r="A92" s="209" t="s">
        <v>4</v>
      </c>
      <c r="B92" s="211" t="s">
        <v>5</v>
      </c>
      <c r="C92" s="212"/>
      <c r="D92" s="209" t="s">
        <v>6</v>
      </c>
      <c r="E92" s="206" t="s">
        <v>7</v>
      </c>
      <c r="F92" s="207"/>
      <c r="G92" s="208"/>
      <c r="H92" s="209" t="s">
        <v>8</v>
      </c>
      <c r="I92" s="206" t="s">
        <v>9</v>
      </c>
      <c r="J92" s="207"/>
      <c r="K92" s="207"/>
      <c r="L92" s="207"/>
      <c r="M92" s="208"/>
      <c r="N92" s="206" t="s">
        <v>10</v>
      </c>
      <c r="O92" s="207"/>
      <c r="P92" s="207"/>
      <c r="Q92" s="207"/>
      <c r="R92" s="207"/>
      <c r="S92" s="208"/>
      <c r="T92" s="9"/>
      <c r="U92" s="22"/>
      <c r="V92" s="22"/>
      <c r="W92" s="22"/>
    </row>
    <row r="93" spans="1:23" s="1" customFormat="1" ht="21" customHeight="1">
      <c r="A93" s="210"/>
      <c r="B93" s="213"/>
      <c r="C93" s="214"/>
      <c r="D93" s="210"/>
      <c r="E93" s="96" t="s">
        <v>11</v>
      </c>
      <c r="F93" s="108" t="s">
        <v>12</v>
      </c>
      <c r="G93" s="108" t="s">
        <v>13</v>
      </c>
      <c r="H93" s="210"/>
      <c r="I93" s="108" t="s">
        <v>14</v>
      </c>
      <c r="J93" s="108" t="s">
        <v>69</v>
      </c>
      <c r="K93" s="108" t="s">
        <v>15</v>
      </c>
      <c r="L93" s="108" t="s">
        <v>16</v>
      </c>
      <c r="M93" s="108" t="s">
        <v>17</v>
      </c>
      <c r="N93" s="108" t="s">
        <v>18</v>
      </c>
      <c r="O93" s="108" t="s">
        <v>19</v>
      </c>
      <c r="P93" s="108" t="s">
        <v>70</v>
      </c>
      <c r="Q93" s="108" t="s">
        <v>71</v>
      </c>
      <c r="R93" s="108" t="s">
        <v>20</v>
      </c>
      <c r="S93" s="108" t="s">
        <v>21</v>
      </c>
      <c r="T93" s="9"/>
      <c r="U93" s="22"/>
      <c r="V93" s="22"/>
      <c r="W93" s="22"/>
    </row>
    <row r="94" spans="1:23" s="1" customFormat="1" ht="11.25" customHeight="1">
      <c r="A94" s="105">
        <v>1</v>
      </c>
      <c r="B94" s="198">
        <v>2</v>
      </c>
      <c r="C94" s="199"/>
      <c r="D94" s="39">
        <v>3</v>
      </c>
      <c r="E94" s="97">
        <v>4</v>
      </c>
      <c r="F94" s="39">
        <v>5</v>
      </c>
      <c r="G94" s="39">
        <v>6</v>
      </c>
      <c r="H94" s="39">
        <v>7</v>
      </c>
      <c r="I94" s="39">
        <v>8</v>
      </c>
      <c r="J94" s="39">
        <v>9</v>
      </c>
      <c r="K94" s="39">
        <v>10</v>
      </c>
      <c r="L94" s="39">
        <v>11</v>
      </c>
      <c r="M94" s="39">
        <v>12</v>
      </c>
      <c r="N94" s="39">
        <v>13</v>
      </c>
      <c r="O94" s="39">
        <v>14</v>
      </c>
      <c r="P94" s="39">
        <v>15</v>
      </c>
      <c r="Q94" s="39">
        <v>16</v>
      </c>
      <c r="R94" s="39">
        <v>17</v>
      </c>
      <c r="S94" s="39">
        <v>18</v>
      </c>
      <c r="T94" s="10"/>
      <c r="U94" s="23"/>
      <c r="V94" s="23"/>
      <c r="W94" s="23"/>
    </row>
    <row r="95" spans="1:23" s="1" customFormat="1" ht="11.25" customHeight="1">
      <c r="A95" s="200" t="str">
        <f>'[1]TDSheet'!A309</f>
        <v>Завтрак молочный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2"/>
      <c r="T95" s="11"/>
      <c r="U95" s="24"/>
      <c r="V95" s="24"/>
      <c r="W95" s="24"/>
    </row>
    <row r="96" spans="1:23" s="3" customFormat="1" ht="11.25" customHeight="1">
      <c r="A96" s="105">
        <v>59</v>
      </c>
      <c r="B96" s="192" t="s">
        <v>91</v>
      </c>
      <c r="C96" s="193"/>
      <c r="D96" s="74">
        <v>60</v>
      </c>
      <c r="E96" s="76">
        <f>1.06*D96/100</f>
        <v>0.636</v>
      </c>
      <c r="F96" s="76">
        <f>0.17*D96/100</f>
        <v>0.10200000000000001</v>
      </c>
      <c r="G96" s="76">
        <f>8.52*D96/100</f>
        <v>5.112</v>
      </c>
      <c r="H96" s="73">
        <f>E96*4+F96*9+G96*4</f>
        <v>23.91</v>
      </c>
      <c r="I96" s="72">
        <f>0.05*D96/100</f>
        <v>0.03</v>
      </c>
      <c r="J96" s="72">
        <v>0.02</v>
      </c>
      <c r="K96" s="76">
        <f>4.38*D96/100</f>
        <v>2.628</v>
      </c>
      <c r="L96" s="72">
        <v>0.02</v>
      </c>
      <c r="M96" s="77">
        <f>2.49*D96/100</f>
        <v>1.494</v>
      </c>
      <c r="N96" s="73">
        <f>23.99*D96/100</f>
        <v>14.393999999999998</v>
      </c>
      <c r="O96" s="76">
        <f>33.98*D96/100</f>
        <v>20.387999999999998</v>
      </c>
      <c r="P96" s="76">
        <v>0.13</v>
      </c>
      <c r="Q96" s="77">
        <v>0.001</v>
      </c>
      <c r="R96" s="76">
        <v>6.6</v>
      </c>
      <c r="S96" s="76">
        <f>1.07*D96/100</f>
        <v>0.642</v>
      </c>
      <c r="T96" s="11"/>
      <c r="U96" s="24"/>
      <c r="V96" s="24"/>
      <c r="W96" s="24"/>
    </row>
    <row r="97" spans="1:23" s="3" customFormat="1" ht="11.25" customHeight="1">
      <c r="A97" s="82"/>
      <c r="B97" s="218" t="s">
        <v>74</v>
      </c>
      <c r="C97" s="191"/>
      <c r="D97" s="74">
        <v>20</v>
      </c>
      <c r="E97" s="76">
        <v>0.1</v>
      </c>
      <c r="F97" s="72">
        <v>0</v>
      </c>
      <c r="G97" s="73">
        <v>14.3</v>
      </c>
      <c r="H97" s="76">
        <f>E97*4+F97*9+G97*4</f>
        <v>57.6</v>
      </c>
      <c r="I97" s="76">
        <v>0.01</v>
      </c>
      <c r="J97" s="76">
        <v>0.01</v>
      </c>
      <c r="K97" s="73">
        <v>2.5</v>
      </c>
      <c r="L97" s="76">
        <v>0.08</v>
      </c>
      <c r="M97" s="77">
        <v>0.09</v>
      </c>
      <c r="N97" s="73">
        <v>3.57</v>
      </c>
      <c r="O97" s="73">
        <v>2.85</v>
      </c>
      <c r="P97" s="76">
        <v>0.01</v>
      </c>
      <c r="Q97" s="77">
        <v>0.001</v>
      </c>
      <c r="R97" s="73">
        <v>0.9</v>
      </c>
      <c r="S97" s="76">
        <v>0.12</v>
      </c>
      <c r="T97" s="78"/>
      <c r="U97" s="79"/>
      <c r="V97" s="79"/>
      <c r="W97" s="79"/>
    </row>
    <row r="98" spans="1:23" s="3" customFormat="1" ht="15" customHeight="1">
      <c r="A98" s="105">
        <v>222</v>
      </c>
      <c r="B98" s="233" t="s">
        <v>88</v>
      </c>
      <c r="C98" s="234"/>
      <c r="D98" s="74">
        <v>170</v>
      </c>
      <c r="E98" s="76">
        <f>14.92*D98/170</f>
        <v>14.92</v>
      </c>
      <c r="F98" s="76">
        <f>14.38*D98/170</f>
        <v>14.379999999999999</v>
      </c>
      <c r="G98" s="76">
        <f>31.51*D98/170</f>
        <v>31.509999999999998</v>
      </c>
      <c r="H98" s="76">
        <f>E98*4+F98*9+G98*4</f>
        <v>315.14</v>
      </c>
      <c r="I98" s="73">
        <f>D98*0.31/200</f>
        <v>0.2635</v>
      </c>
      <c r="J98" s="73">
        <f>D98*0.48/200</f>
        <v>0.408</v>
      </c>
      <c r="K98" s="73">
        <f>D98*1.1/200</f>
        <v>0.9350000000000002</v>
      </c>
      <c r="L98" s="76">
        <f>D98*0.25/200</f>
        <v>0.2125</v>
      </c>
      <c r="M98" s="77">
        <f>D98*1.6/200</f>
        <v>1.36</v>
      </c>
      <c r="N98" s="73">
        <f>D98*254.08/200</f>
        <v>215.968</v>
      </c>
      <c r="O98" s="73">
        <f>D98*487.77/200</f>
        <v>414.6045</v>
      </c>
      <c r="P98" s="73">
        <v>1.2</v>
      </c>
      <c r="Q98" s="77">
        <v>0.02</v>
      </c>
      <c r="R98" s="73">
        <f>D98*110.45/200</f>
        <v>93.8825</v>
      </c>
      <c r="S98" s="76">
        <f>D98*2.98/200</f>
        <v>2.533</v>
      </c>
      <c r="T98" s="56"/>
      <c r="U98" s="35"/>
      <c r="V98" s="35"/>
      <c r="W98" s="35"/>
    </row>
    <row r="99" spans="1:23" s="3" customFormat="1" ht="13.5" customHeight="1">
      <c r="A99" s="105">
        <v>376</v>
      </c>
      <c r="B99" s="191" t="s">
        <v>80</v>
      </c>
      <c r="C99" s="191"/>
      <c r="D99" s="74">
        <v>200</v>
      </c>
      <c r="E99" s="76">
        <v>0.2</v>
      </c>
      <c r="F99" s="76">
        <v>0.05</v>
      </c>
      <c r="G99" s="76">
        <v>15.01</v>
      </c>
      <c r="H99" s="76">
        <f>E99*4+F99*9+G99*4</f>
        <v>61.29</v>
      </c>
      <c r="I99" s="74">
        <v>0</v>
      </c>
      <c r="J99" s="76">
        <v>0.01</v>
      </c>
      <c r="K99" s="76">
        <v>9</v>
      </c>
      <c r="L99" s="80">
        <v>0.0001</v>
      </c>
      <c r="M99" s="77">
        <v>0.045</v>
      </c>
      <c r="N99" s="76">
        <v>5.25</v>
      </c>
      <c r="O99" s="76">
        <v>8.24</v>
      </c>
      <c r="P99" s="77">
        <v>0.008</v>
      </c>
      <c r="Q99" s="74">
        <v>0</v>
      </c>
      <c r="R99" s="73">
        <v>4.4</v>
      </c>
      <c r="S99" s="76">
        <v>0.87</v>
      </c>
      <c r="T99" s="78"/>
      <c r="U99" s="79"/>
      <c r="V99" s="79"/>
      <c r="W99" s="79"/>
    </row>
    <row r="100" spans="1:23" s="3" customFormat="1" ht="12.75" customHeight="1">
      <c r="A100" s="82" t="s">
        <v>90</v>
      </c>
      <c r="B100" s="192" t="s">
        <v>62</v>
      </c>
      <c r="C100" s="193"/>
      <c r="D100" s="74">
        <v>40</v>
      </c>
      <c r="E100" s="76">
        <f>1.52*D100/30</f>
        <v>2.0266666666666664</v>
      </c>
      <c r="F100" s="77">
        <f>0.16*D100/30</f>
        <v>0.21333333333333335</v>
      </c>
      <c r="G100" s="77">
        <f>9.84*D100/30</f>
        <v>13.120000000000001</v>
      </c>
      <c r="H100" s="77">
        <f>E100*4+F100*9+G100*4</f>
        <v>62.50666666666667</v>
      </c>
      <c r="I100" s="77">
        <f>0.02*D100/30</f>
        <v>0.02666666666666667</v>
      </c>
      <c r="J100" s="77">
        <f>0.01*D100/30</f>
        <v>0.013333333333333334</v>
      </c>
      <c r="K100" s="77">
        <f>0.44*D100/30</f>
        <v>0.5866666666666667</v>
      </c>
      <c r="L100" s="77">
        <v>0</v>
      </c>
      <c r="M100" s="77">
        <f>0.7*D100/30</f>
        <v>0.9333333333333333</v>
      </c>
      <c r="N100" s="77">
        <f>4*D100/30</f>
        <v>5.333333333333333</v>
      </c>
      <c r="O100" s="77">
        <f>13*D100/30</f>
        <v>17.333333333333332</v>
      </c>
      <c r="P100" s="77">
        <f>0.008*D100/30</f>
        <v>0.010666666666666666</v>
      </c>
      <c r="Q100" s="77">
        <f>0.001*D100/30</f>
        <v>0.0013333333333333333</v>
      </c>
      <c r="R100" s="77">
        <v>0</v>
      </c>
      <c r="S100" s="77">
        <f>0.22*D100/30</f>
        <v>0.29333333333333333</v>
      </c>
      <c r="T100" s="78"/>
      <c r="U100" s="79"/>
      <c r="V100" s="79"/>
      <c r="W100" s="79"/>
    </row>
    <row r="101" spans="1:23" s="3" customFormat="1" ht="14.25" customHeight="1">
      <c r="A101" s="68" t="str">
        <f>'[1]TDSheet'!A314</f>
        <v>Итого за Завтрак молочный</v>
      </c>
      <c r="B101" s="69"/>
      <c r="C101" s="69"/>
      <c r="D101" s="138">
        <f aca="true" t="shared" si="21" ref="D101:S101">SUM(D96:D100)</f>
        <v>490</v>
      </c>
      <c r="E101" s="139">
        <f t="shared" si="21"/>
        <v>17.882666666666665</v>
      </c>
      <c r="F101" s="140">
        <f t="shared" si="21"/>
        <v>14.745333333333333</v>
      </c>
      <c r="G101" s="138">
        <f t="shared" si="21"/>
        <v>79.052</v>
      </c>
      <c r="H101" s="140">
        <f t="shared" si="21"/>
        <v>520.4466666666667</v>
      </c>
      <c r="I101" s="139">
        <f t="shared" si="21"/>
        <v>0.33016666666666666</v>
      </c>
      <c r="J101" s="139">
        <f t="shared" si="21"/>
        <v>0.46133333333333326</v>
      </c>
      <c r="K101" s="139">
        <f t="shared" si="21"/>
        <v>15.649666666666667</v>
      </c>
      <c r="L101" s="139">
        <f t="shared" si="21"/>
        <v>0.3126</v>
      </c>
      <c r="M101" s="141">
        <f t="shared" si="21"/>
        <v>3.9223333333333334</v>
      </c>
      <c r="N101" s="139">
        <f t="shared" si="21"/>
        <v>244.51533333333333</v>
      </c>
      <c r="O101" s="139">
        <f t="shared" si="21"/>
        <v>463.4158333333333</v>
      </c>
      <c r="P101" s="139">
        <f t="shared" si="21"/>
        <v>1.3586666666666665</v>
      </c>
      <c r="Q101" s="141">
        <f t="shared" si="21"/>
        <v>0.02333333333333333</v>
      </c>
      <c r="R101" s="139">
        <f t="shared" si="21"/>
        <v>105.7825</v>
      </c>
      <c r="S101" s="139">
        <f t="shared" si="21"/>
        <v>4.458333333333333</v>
      </c>
      <c r="T101" s="40"/>
      <c r="U101" s="43"/>
      <c r="V101" s="43"/>
      <c r="W101" s="43"/>
    </row>
    <row r="102" spans="1:23" s="3" customFormat="1" ht="14.25" customHeight="1">
      <c r="A102" s="229" t="s">
        <v>77</v>
      </c>
      <c r="B102" s="230"/>
      <c r="C102" s="230"/>
      <c r="D102" s="231"/>
      <c r="E102" s="81">
        <f aca="true" t="shared" si="22" ref="E102:S102">E101/E121</f>
        <v>0.23224242424242422</v>
      </c>
      <c r="F102" s="81">
        <f t="shared" si="22"/>
        <v>0.18664978902953586</v>
      </c>
      <c r="G102" s="81">
        <f t="shared" si="22"/>
        <v>0.2359761194029851</v>
      </c>
      <c r="H102" s="81">
        <f t="shared" si="22"/>
        <v>0.2214666666666667</v>
      </c>
      <c r="I102" s="81">
        <f t="shared" si="22"/>
        <v>0.2751388888888889</v>
      </c>
      <c r="J102" s="81">
        <f t="shared" si="22"/>
        <v>0.3295238095238095</v>
      </c>
      <c r="K102" s="81">
        <f t="shared" si="22"/>
        <v>0.26082777777777777</v>
      </c>
      <c r="L102" s="81">
        <f t="shared" si="22"/>
        <v>0.44657142857142856</v>
      </c>
      <c r="M102" s="81">
        <f t="shared" si="22"/>
        <v>0.3922333333333333</v>
      </c>
      <c r="N102" s="46">
        <f t="shared" si="22"/>
        <v>0.22228666666666666</v>
      </c>
      <c r="O102" s="81">
        <f t="shared" si="22"/>
        <v>0.4212871212121212</v>
      </c>
      <c r="P102" s="81">
        <f t="shared" si="22"/>
        <v>0.13586666666666664</v>
      </c>
      <c r="Q102" s="81">
        <f t="shared" si="22"/>
        <v>0.2333333333333333</v>
      </c>
      <c r="R102" s="81">
        <f t="shared" si="22"/>
        <v>0.42313</v>
      </c>
      <c r="S102" s="46">
        <f t="shared" si="22"/>
        <v>0.37152777777777773</v>
      </c>
      <c r="T102" s="51"/>
      <c r="U102" s="43"/>
      <c r="V102" s="43"/>
      <c r="W102" s="43"/>
    </row>
    <row r="103" spans="1:23" s="3" customFormat="1" ht="11.25" customHeight="1">
      <c r="A103" s="203" t="s">
        <v>27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5"/>
      <c r="T103" s="11"/>
      <c r="U103" s="24"/>
      <c r="V103" s="24"/>
      <c r="W103" s="24"/>
    </row>
    <row r="104" spans="1:23" s="75" customFormat="1" ht="11.25" customHeight="1">
      <c r="A104" s="149" t="s">
        <v>127</v>
      </c>
      <c r="B104" s="244" t="s">
        <v>158</v>
      </c>
      <c r="C104" s="245"/>
      <c r="D104" s="143">
        <v>60</v>
      </c>
      <c r="E104" s="144">
        <f>0.94</f>
        <v>0.94</v>
      </c>
      <c r="F104" s="143">
        <v>2.106</v>
      </c>
      <c r="G104" s="143">
        <v>2.661</v>
      </c>
      <c r="H104" s="150">
        <f>E104*4+F104*9+G104*4</f>
        <v>33.358</v>
      </c>
      <c r="I104" s="143">
        <v>0.018</v>
      </c>
      <c r="J104" s="143">
        <v>0.034</v>
      </c>
      <c r="K104" s="143">
        <v>27.9</v>
      </c>
      <c r="L104" s="143">
        <v>0.002</v>
      </c>
      <c r="M104" s="151">
        <v>0.943</v>
      </c>
      <c r="N104" s="143">
        <v>26.09</v>
      </c>
      <c r="O104" s="144">
        <v>19.04</v>
      </c>
      <c r="P104" s="143">
        <v>0.224</v>
      </c>
      <c r="Q104" s="143">
        <v>0.014</v>
      </c>
      <c r="R104" s="144">
        <v>9</v>
      </c>
      <c r="S104" s="143">
        <v>0.367</v>
      </c>
      <c r="T104" s="11"/>
      <c r="U104" s="24"/>
      <c r="V104" s="24"/>
      <c r="W104" s="24"/>
    </row>
    <row r="105" spans="1:23" s="36" customFormat="1" ht="21.75" customHeight="1">
      <c r="A105" s="105">
        <v>24</v>
      </c>
      <c r="B105" s="233" t="s">
        <v>107</v>
      </c>
      <c r="C105" s="234"/>
      <c r="D105" s="74">
        <v>60</v>
      </c>
      <c r="E105" s="76">
        <v>0.3</v>
      </c>
      <c r="F105" s="76">
        <v>2</v>
      </c>
      <c r="G105" s="76">
        <v>1.6</v>
      </c>
      <c r="H105" s="76">
        <f aca="true" t="shared" si="23" ref="H105:H110">E105*4+F105*9+G105*4</f>
        <v>25.6</v>
      </c>
      <c r="I105" s="76">
        <v>0.06</v>
      </c>
      <c r="J105" s="76">
        <v>0.04</v>
      </c>
      <c r="K105" s="76">
        <v>12.4</v>
      </c>
      <c r="L105" s="76">
        <v>0.001</v>
      </c>
      <c r="M105" s="76">
        <v>1.5</v>
      </c>
      <c r="N105" s="76">
        <v>28.2</v>
      </c>
      <c r="O105" s="76">
        <v>32.3</v>
      </c>
      <c r="P105" s="76">
        <v>0.3</v>
      </c>
      <c r="Q105" s="76">
        <v>0.002</v>
      </c>
      <c r="R105" s="76">
        <v>18.6</v>
      </c>
      <c r="S105" s="76">
        <v>0.5</v>
      </c>
      <c r="T105" s="78"/>
      <c r="U105" s="79"/>
      <c r="V105" s="79"/>
      <c r="W105" s="79"/>
    </row>
    <row r="106" spans="1:23" s="3" customFormat="1" ht="22.5" customHeight="1">
      <c r="A106" s="105">
        <v>82</v>
      </c>
      <c r="B106" s="192" t="s">
        <v>116</v>
      </c>
      <c r="C106" s="193"/>
      <c r="D106" s="72" t="s">
        <v>35</v>
      </c>
      <c r="E106" s="76">
        <v>1.89</v>
      </c>
      <c r="F106" s="76">
        <v>2.43</v>
      </c>
      <c r="G106" s="76">
        <v>9.34</v>
      </c>
      <c r="H106" s="76">
        <f t="shared" si="23"/>
        <v>66.78999999999999</v>
      </c>
      <c r="I106" s="72">
        <v>0.05</v>
      </c>
      <c r="J106" s="72">
        <v>0.05</v>
      </c>
      <c r="K106" s="73">
        <v>16.33</v>
      </c>
      <c r="L106" s="76">
        <v>0.59</v>
      </c>
      <c r="M106" s="76">
        <v>0.2</v>
      </c>
      <c r="N106" s="76">
        <v>38.57</v>
      </c>
      <c r="O106" s="76">
        <v>45.64</v>
      </c>
      <c r="P106" s="76">
        <v>0.58</v>
      </c>
      <c r="Q106" s="77">
        <v>0.009</v>
      </c>
      <c r="R106" s="76">
        <v>19.78</v>
      </c>
      <c r="S106" s="76">
        <v>1.03</v>
      </c>
      <c r="T106" s="78"/>
      <c r="U106" s="79"/>
      <c r="V106" s="79"/>
      <c r="W106" s="79"/>
    </row>
    <row r="107" spans="1:23" s="3" customFormat="1" ht="11.25" customHeight="1">
      <c r="A107" s="105">
        <v>291</v>
      </c>
      <c r="B107" s="192" t="s">
        <v>55</v>
      </c>
      <c r="C107" s="193"/>
      <c r="D107" s="74">
        <v>240</v>
      </c>
      <c r="E107" s="76">
        <f>D107*18.63/200</f>
        <v>22.355999999999998</v>
      </c>
      <c r="F107" s="76">
        <f>D107*21.78/200</f>
        <v>26.136000000000003</v>
      </c>
      <c r="G107" s="76">
        <f>D107*39.36/200</f>
        <v>47.232</v>
      </c>
      <c r="H107" s="76">
        <f t="shared" si="23"/>
        <v>513.576</v>
      </c>
      <c r="I107" s="76">
        <f>D107*0.68/200</f>
        <v>0.8160000000000001</v>
      </c>
      <c r="J107" s="76">
        <f>D107*0.66/200</f>
        <v>0.792</v>
      </c>
      <c r="K107" s="76">
        <f>D107*3.58/200</f>
        <v>4.296</v>
      </c>
      <c r="L107" s="76">
        <v>0.46</v>
      </c>
      <c r="M107" s="72">
        <v>0</v>
      </c>
      <c r="N107" s="76">
        <f>D107*36.91/200</f>
        <v>44.292</v>
      </c>
      <c r="O107" s="76">
        <f>D107*251.38/200</f>
        <v>301.656</v>
      </c>
      <c r="P107" s="74">
        <v>0</v>
      </c>
      <c r="Q107" s="74">
        <v>0</v>
      </c>
      <c r="R107" s="76">
        <f>D107*53.66/200</f>
        <v>64.392</v>
      </c>
      <c r="S107" s="76">
        <f>D107*2.31/200</f>
        <v>2.772</v>
      </c>
      <c r="T107" s="78"/>
      <c r="U107" s="79"/>
      <c r="V107" s="79"/>
      <c r="W107" s="79"/>
    </row>
    <row r="108" spans="1:23" s="3" customFormat="1" ht="12" customHeight="1">
      <c r="A108" s="105">
        <v>342</v>
      </c>
      <c r="B108" s="192" t="s">
        <v>98</v>
      </c>
      <c r="C108" s="193"/>
      <c r="D108" s="74">
        <v>200</v>
      </c>
      <c r="E108" s="76">
        <v>0.16</v>
      </c>
      <c r="F108" s="72">
        <v>0.16</v>
      </c>
      <c r="G108" s="73">
        <v>27.87</v>
      </c>
      <c r="H108" s="76">
        <f t="shared" si="23"/>
        <v>113.56</v>
      </c>
      <c r="I108" s="72">
        <v>0.01</v>
      </c>
      <c r="J108" s="72">
        <v>0.01</v>
      </c>
      <c r="K108" s="73">
        <v>6.6</v>
      </c>
      <c r="L108" s="72">
        <v>0.01</v>
      </c>
      <c r="M108" s="76">
        <v>0.4</v>
      </c>
      <c r="N108" s="76">
        <v>6.88</v>
      </c>
      <c r="O108" s="76">
        <v>4.4</v>
      </c>
      <c r="P108" s="76">
        <v>0.078</v>
      </c>
      <c r="Q108" s="77">
        <v>0.01</v>
      </c>
      <c r="R108" s="76">
        <v>3.6</v>
      </c>
      <c r="S108" s="76">
        <v>0.95</v>
      </c>
      <c r="T108" s="78"/>
      <c r="U108" s="79"/>
      <c r="V108" s="79"/>
      <c r="W108" s="79"/>
    </row>
    <row r="109" spans="1:23" s="3" customFormat="1" ht="11.25" customHeight="1">
      <c r="A109" s="83" t="s">
        <v>90</v>
      </c>
      <c r="B109" s="192" t="s">
        <v>48</v>
      </c>
      <c r="C109" s="193"/>
      <c r="D109" s="74">
        <v>40</v>
      </c>
      <c r="E109" s="76">
        <f>2.64*D109/40</f>
        <v>2.64</v>
      </c>
      <c r="F109" s="76">
        <f>0.48*D109/40</f>
        <v>0.48</v>
      </c>
      <c r="G109" s="76">
        <f>13.68*D109/40</f>
        <v>13.680000000000001</v>
      </c>
      <c r="H109" s="76">
        <f t="shared" si="23"/>
        <v>69.60000000000001</v>
      </c>
      <c r="I109" s="72">
        <f>0.08*D109/40</f>
        <v>0.08</v>
      </c>
      <c r="J109" s="76">
        <f>0.04*D109/40</f>
        <v>0.04</v>
      </c>
      <c r="K109" s="74">
        <v>0</v>
      </c>
      <c r="L109" s="74">
        <v>0</v>
      </c>
      <c r="M109" s="76">
        <f>2.4*D109/40</f>
        <v>2.4</v>
      </c>
      <c r="N109" s="76">
        <f>14*D109/40</f>
        <v>14</v>
      </c>
      <c r="O109" s="76">
        <f>63.2*D109/40</f>
        <v>63.2</v>
      </c>
      <c r="P109" s="76">
        <f>1.2*D109/40</f>
        <v>1.2</v>
      </c>
      <c r="Q109" s="77">
        <f>0.001*D109/40</f>
        <v>0.001</v>
      </c>
      <c r="R109" s="76">
        <f>9.4*D109/40</f>
        <v>9.4</v>
      </c>
      <c r="S109" s="72">
        <f>0.78*D109/40</f>
        <v>0.78</v>
      </c>
      <c r="T109" s="30"/>
      <c r="U109" s="31"/>
      <c r="V109" s="31"/>
      <c r="W109" s="31"/>
    </row>
    <row r="110" spans="1:23" s="3" customFormat="1" ht="11.25" customHeight="1">
      <c r="A110" s="82" t="s">
        <v>90</v>
      </c>
      <c r="B110" s="192" t="s">
        <v>62</v>
      </c>
      <c r="C110" s="193"/>
      <c r="D110" s="74">
        <v>30</v>
      </c>
      <c r="E110" s="76">
        <f>1.52*D110/30</f>
        <v>1.52</v>
      </c>
      <c r="F110" s="77">
        <f>0.16*D110/30</f>
        <v>0.16</v>
      </c>
      <c r="G110" s="77">
        <f>9.84*D110/30</f>
        <v>9.84</v>
      </c>
      <c r="H110" s="77">
        <f t="shared" si="23"/>
        <v>46.879999999999995</v>
      </c>
      <c r="I110" s="77">
        <f>0.02*D110/30</f>
        <v>0.02</v>
      </c>
      <c r="J110" s="77">
        <f>0.01*D110/30</f>
        <v>0.01</v>
      </c>
      <c r="K110" s="77">
        <f>0.44*D110/30</f>
        <v>0.44</v>
      </c>
      <c r="L110" s="77">
        <v>0</v>
      </c>
      <c r="M110" s="77">
        <f>0.7*D110/30</f>
        <v>0.7</v>
      </c>
      <c r="N110" s="77">
        <f>4*D110/30</f>
        <v>4</v>
      </c>
      <c r="O110" s="77">
        <f>13*D110/30</f>
        <v>13</v>
      </c>
      <c r="P110" s="77">
        <f>0.008*D110/30</f>
        <v>0.008</v>
      </c>
      <c r="Q110" s="77">
        <f>0.001*D110/30</f>
        <v>0.001</v>
      </c>
      <c r="R110" s="77">
        <v>0</v>
      </c>
      <c r="S110" s="77">
        <f>0.22*D110/30</f>
        <v>0.22</v>
      </c>
      <c r="T110" s="78"/>
      <c r="U110" s="79"/>
      <c r="V110" s="79"/>
      <c r="W110" s="79"/>
    </row>
    <row r="111" spans="1:23" s="3" customFormat="1" ht="11.25" customHeight="1">
      <c r="A111" s="66" t="s">
        <v>28</v>
      </c>
      <c r="B111" s="67"/>
      <c r="C111" s="67"/>
      <c r="D111" s="130">
        <v>780</v>
      </c>
      <c r="E111" s="41">
        <f>SUM(E105:E110)</f>
        <v>28.866</v>
      </c>
      <c r="F111" s="40">
        <f>SUM(F105:F110)</f>
        <v>31.366000000000003</v>
      </c>
      <c r="G111" s="40">
        <f>SUM(G105:G110)</f>
        <v>109.56200000000001</v>
      </c>
      <c r="H111" s="40">
        <f>SUM(H105:H110)</f>
        <v>836.0060000000001</v>
      </c>
      <c r="I111" s="41">
        <f aca="true" t="shared" si="24" ref="I111:R111">SUM(I105:I110)</f>
        <v>1.036</v>
      </c>
      <c r="J111" s="41">
        <f t="shared" si="24"/>
        <v>0.9420000000000001</v>
      </c>
      <c r="K111" s="40">
        <f t="shared" si="24"/>
        <v>40.065999999999995</v>
      </c>
      <c r="L111" s="41">
        <f t="shared" si="24"/>
        <v>1.061</v>
      </c>
      <c r="M111" s="45">
        <f t="shared" si="24"/>
        <v>5.2</v>
      </c>
      <c r="N111" s="40">
        <f t="shared" si="24"/>
        <v>135.942</v>
      </c>
      <c r="O111" s="41">
        <f t="shared" si="24"/>
        <v>460.19599999999997</v>
      </c>
      <c r="P111" s="40">
        <f t="shared" si="24"/>
        <v>2.166</v>
      </c>
      <c r="Q111" s="42">
        <f t="shared" si="24"/>
        <v>0.023</v>
      </c>
      <c r="R111" s="52">
        <f t="shared" si="24"/>
        <v>115.77199999999999</v>
      </c>
      <c r="S111" s="41">
        <f>SUM(S105:S110)</f>
        <v>6.252</v>
      </c>
      <c r="T111" s="40"/>
      <c r="U111" s="43"/>
      <c r="V111" s="43"/>
      <c r="W111" s="43"/>
    </row>
    <row r="112" spans="1:23" s="3" customFormat="1" ht="11.25" customHeight="1">
      <c r="A112" s="229" t="s">
        <v>77</v>
      </c>
      <c r="B112" s="230"/>
      <c r="C112" s="230"/>
      <c r="D112" s="231"/>
      <c r="E112" s="102">
        <f aca="true" t="shared" si="25" ref="E112:S112">E111/E121</f>
        <v>0.3748831168831169</v>
      </c>
      <c r="F112" s="81">
        <f t="shared" si="25"/>
        <v>0.39703797468354435</v>
      </c>
      <c r="G112" s="81">
        <f t="shared" si="25"/>
        <v>0.32705074626865677</v>
      </c>
      <c r="H112" s="81">
        <f t="shared" si="25"/>
        <v>0.3557472340425532</v>
      </c>
      <c r="I112" s="81">
        <f t="shared" si="25"/>
        <v>0.8633333333333334</v>
      </c>
      <c r="J112" s="81">
        <f t="shared" si="25"/>
        <v>0.6728571428571429</v>
      </c>
      <c r="K112" s="81">
        <f t="shared" si="25"/>
        <v>0.6677666666666666</v>
      </c>
      <c r="L112" s="81">
        <f t="shared" si="25"/>
        <v>1.5157142857142858</v>
      </c>
      <c r="M112" s="81">
        <f t="shared" si="25"/>
        <v>0.52</v>
      </c>
      <c r="N112" s="46">
        <f t="shared" si="25"/>
        <v>0.12358363636363637</v>
      </c>
      <c r="O112" s="81">
        <f t="shared" si="25"/>
        <v>0.41835999999999995</v>
      </c>
      <c r="P112" s="81">
        <f t="shared" si="25"/>
        <v>0.2166</v>
      </c>
      <c r="Q112" s="81">
        <f t="shared" si="25"/>
        <v>0.22999999999999998</v>
      </c>
      <c r="R112" s="81">
        <f t="shared" si="25"/>
        <v>0.46308799999999994</v>
      </c>
      <c r="S112" s="46">
        <f t="shared" si="25"/>
        <v>0.521</v>
      </c>
      <c r="T112" s="51"/>
      <c r="U112" s="43"/>
      <c r="V112" s="43"/>
      <c r="W112" s="43"/>
    </row>
    <row r="113" spans="1:23" s="75" customFormat="1" ht="11.25" customHeight="1">
      <c r="A113" s="119" t="s">
        <v>109</v>
      </c>
      <c r="B113" s="120"/>
      <c r="C113" s="120"/>
      <c r="D113" s="120"/>
      <c r="E113" s="41">
        <f>E104+E106+E107+E108+E109+E110</f>
        <v>29.506</v>
      </c>
      <c r="F113" s="41">
        <f aca="true" t="shared" si="26" ref="F113:S113">F104+F106+F107+F108+F109+F110</f>
        <v>31.472000000000005</v>
      </c>
      <c r="G113" s="41">
        <f t="shared" si="26"/>
        <v>110.623</v>
      </c>
      <c r="H113" s="41">
        <f t="shared" si="26"/>
        <v>843.7640000000001</v>
      </c>
      <c r="I113" s="41">
        <f t="shared" si="26"/>
        <v>0.9940000000000001</v>
      </c>
      <c r="J113" s="41">
        <f t="shared" si="26"/>
        <v>0.936</v>
      </c>
      <c r="K113" s="41">
        <f t="shared" si="26"/>
        <v>55.565999999999995</v>
      </c>
      <c r="L113" s="41">
        <f t="shared" si="26"/>
        <v>1.062</v>
      </c>
      <c r="M113" s="41">
        <f t="shared" si="26"/>
        <v>4.643</v>
      </c>
      <c r="N113" s="41">
        <f t="shared" si="26"/>
        <v>133.832</v>
      </c>
      <c r="O113" s="41">
        <f t="shared" si="26"/>
        <v>446.936</v>
      </c>
      <c r="P113" s="41">
        <f t="shared" si="26"/>
        <v>2.09</v>
      </c>
      <c r="Q113" s="41">
        <f t="shared" si="26"/>
        <v>0.035</v>
      </c>
      <c r="R113" s="41">
        <f t="shared" si="26"/>
        <v>106.172</v>
      </c>
      <c r="S113" s="41">
        <f t="shared" si="26"/>
        <v>6.119</v>
      </c>
      <c r="T113" s="51"/>
      <c r="U113" s="43"/>
      <c r="V113" s="43"/>
      <c r="W113" s="43"/>
    </row>
    <row r="114" spans="1:23" s="3" customFormat="1" ht="11.25" customHeight="1">
      <c r="A114" s="203" t="s">
        <v>29</v>
      </c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5"/>
      <c r="T114" s="11"/>
      <c r="U114" s="24"/>
      <c r="V114" s="24"/>
      <c r="W114" s="24"/>
    </row>
    <row r="115" spans="1:23" s="75" customFormat="1" ht="12.75" customHeight="1">
      <c r="A115" s="105">
        <v>341</v>
      </c>
      <c r="B115" s="192" t="s">
        <v>136</v>
      </c>
      <c r="C115" s="193"/>
      <c r="D115" s="74">
        <v>100</v>
      </c>
      <c r="E115" s="76">
        <f>0.39*D115/60</f>
        <v>0.65</v>
      </c>
      <c r="F115" s="76">
        <f>0.18*D115/60</f>
        <v>0.3</v>
      </c>
      <c r="G115" s="76">
        <f>5.37*D115/60</f>
        <v>8.95</v>
      </c>
      <c r="H115" s="73">
        <f>E115*4+F115*9+G115*4</f>
        <v>41.099999999999994</v>
      </c>
      <c r="I115" s="77">
        <f>0.02*D115/60</f>
        <v>0.03333333333333333</v>
      </c>
      <c r="J115" s="76">
        <f>0.02*D115/60</f>
        <v>0.03333333333333333</v>
      </c>
      <c r="K115" s="76">
        <f>22.95*D115/60</f>
        <v>38.25</v>
      </c>
      <c r="L115" s="77">
        <f>0.02*D115/60</f>
        <v>0.03333333333333333</v>
      </c>
      <c r="M115" s="72">
        <f>0.6*D115/60</f>
        <v>1</v>
      </c>
      <c r="N115" s="73">
        <f>15*D115/60</f>
        <v>25</v>
      </c>
      <c r="O115" s="76">
        <f>10.2*D115/60</f>
        <v>16.999999999999996</v>
      </c>
      <c r="P115" s="76">
        <f>0.13*D115/60</f>
        <v>0.21666666666666667</v>
      </c>
      <c r="Q115" s="77">
        <f>0.001*D115/60</f>
        <v>0.0016666666666666668</v>
      </c>
      <c r="R115" s="76">
        <f>6.6*D115/60</f>
        <v>11</v>
      </c>
      <c r="S115" s="76">
        <f>0.75*D115/60</f>
        <v>1.25</v>
      </c>
      <c r="T115" s="78"/>
      <c r="U115" s="79"/>
      <c r="V115" s="79"/>
      <c r="W115" s="79"/>
    </row>
    <row r="116" spans="1:23" s="75" customFormat="1" ht="12.75" customHeight="1">
      <c r="A116" s="105">
        <v>344</v>
      </c>
      <c r="B116" s="192" t="s">
        <v>51</v>
      </c>
      <c r="C116" s="193"/>
      <c r="D116" s="74">
        <v>200</v>
      </c>
      <c r="E116" s="76">
        <v>0.1</v>
      </c>
      <c r="F116" s="72"/>
      <c r="G116" s="73">
        <v>15.7</v>
      </c>
      <c r="H116" s="76">
        <f>E116*4+F116*9+G116*4</f>
        <v>63.199999999999996</v>
      </c>
      <c r="I116" s="72">
        <v>0.018</v>
      </c>
      <c r="J116" s="72">
        <v>0.012</v>
      </c>
      <c r="K116" s="73">
        <v>8</v>
      </c>
      <c r="L116" s="76">
        <v>0.02</v>
      </c>
      <c r="M116" s="72">
        <v>0.2</v>
      </c>
      <c r="N116" s="73">
        <v>10.8</v>
      </c>
      <c r="O116" s="73">
        <v>1.7</v>
      </c>
      <c r="P116" s="73">
        <v>0.08</v>
      </c>
      <c r="Q116" s="77">
        <v>0.001</v>
      </c>
      <c r="R116" s="73">
        <v>5.8</v>
      </c>
      <c r="S116" s="76">
        <v>1.6</v>
      </c>
      <c r="T116" s="78"/>
      <c r="U116" s="79"/>
      <c r="V116" s="79"/>
      <c r="W116" s="79"/>
    </row>
    <row r="117" spans="1:23" s="75" customFormat="1" ht="12.75" customHeight="1">
      <c r="A117" s="121" t="s">
        <v>90</v>
      </c>
      <c r="B117" s="238" t="s">
        <v>150</v>
      </c>
      <c r="C117" s="193"/>
      <c r="D117" s="74">
        <v>50</v>
      </c>
      <c r="E117" s="76">
        <v>3.95</v>
      </c>
      <c r="F117" s="72">
        <v>4.06</v>
      </c>
      <c r="G117" s="73">
        <v>22.24</v>
      </c>
      <c r="H117" s="73">
        <f>E117*4+F117*9+G117*4</f>
        <v>141.3</v>
      </c>
      <c r="I117" s="72">
        <v>0.02</v>
      </c>
      <c r="J117" s="72">
        <v>0.02</v>
      </c>
      <c r="K117" s="73">
        <v>4.8</v>
      </c>
      <c r="L117" s="72">
        <v>0</v>
      </c>
      <c r="M117" s="72">
        <v>0</v>
      </c>
      <c r="N117" s="73">
        <v>14</v>
      </c>
      <c r="O117" s="73">
        <v>18</v>
      </c>
      <c r="P117" s="73">
        <v>0.03</v>
      </c>
      <c r="Q117" s="73">
        <v>0</v>
      </c>
      <c r="R117" s="73">
        <v>8</v>
      </c>
      <c r="S117" s="76">
        <v>0.72</v>
      </c>
      <c r="T117" s="78"/>
      <c r="U117" s="79"/>
      <c r="V117" s="79"/>
      <c r="W117" s="79"/>
    </row>
    <row r="118" spans="1:23" s="1" customFormat="1" ht="11.25" customHeight="1">
      <c r="A118" s="66" t="s">
        <v>30</v>
      </c>
      <c r="B118" s="67"/>
      <c r="C118" s="67"/>
      <c r="D118" s="130">
        <f>SUM(D115:D117)</f>
        <v>350</v>
      </c>
      <c r="E118" s="142">
        <f aca="true" t="shared" si="27" ref="E118:S118">SUM(E115:E117)</f>
        <v>4.7</v>
      </c>
      <c r="F118" s="142">
        <f t="shared" si="27"/>
        <v>4.359999999999999</v>
      </c>
      <c r="G118" s="142">
        <f t="shared" si="27"/>
        <v>46.89</v>
      </c>
      <c r="H118" s="142">
        <f t="shared" si="27"/>
        <v>245.6</v>
      </c>
      <c r="I118" s="142">
        <f t="shared" si="27"/>
        <v>0.07133333333333333</v>
      </c>
      <c r="J118" s="142">
        <f t="shared" si="27"/>
        <v>0.06533333333333334</v>
      </c>
      <c r="K118" s="142">
        <f t="shared" si="27"/>
        <v>51.05</v>
      </c>
      <c r="L118" s="142">
        <f t="shared" si="27"/>
        <v>0.05333333333333333</v>
      </c>
      <c r="M118" s="142">
        <f t="shared" si="27"/>
        <v>1.2</v>
      </c>
      <c r="N118" s="142">
        <f t="shared" si="27"/>
        <v>49.8</v>
      </c>
      <c r="O118" s="142">
        <f t="shared" si="27"/>
        <v>36.699999999999996</v>
      </c>
      <c r="P118" s="142">
        <f t="shared" si="27"/>
        <v>0.32666666666666666</v>
      </c>
      <c r="Q118" s="142">
        <f t="shared" si="27"/>
        <v>0.002666666666666667</v>
      </c>
      <c r="R118" s="142">
        <f t="shared" si="27"/>
        <v>24.8</v>
      </c>
      <c r="S118" s="142">
        <f t="shared" si="27"/>
        <v>3.5700000000000003</v>
      </c>
      <c r="T118" s="40"/>
      <c r="U118" s="43"/>
      <c r="V118" s="43"/>
      <c r="W118" s="43"/>
    </row>
    <row r="119" spans="1:23" s="1" customFormat="1" ht="11.25" customHeight="1">
      <c r="A119" s="229" t="s">
        <v>77</v>
      </c>
      <c r="B119" s="230"/>
      <c r="C119" s="230"/>
      <c r="D119" s="231"/>
      <c r="E119" s="81">
        <f>E118/E121</f>
        <v>0.06103896103896104</v>
      </c>
      <c r="F119" s="81">
        <f aca="true" t="shared" si="28" ref="F119:S119">F118/F121</f>
        <v>0.05518987341772151</v>
      </c>
      <c r="G119" s="81">
        <f t="shared" si="28"/>
        <v>0.13997014925373136</v>
      </c>
      <c r="H119" s="81">
        <f t="shared" si="28"/>
        <v>0.10451063829787234</v>
      </c>
      <c r="I119" s="81">
        <f t="shared" si="28"/>
        <v>0.059444444444444446</v>
      </c>
      <c r="J119" s="81">
        <f t="shared" si="28"/>
        <v>0.046666666666666676</v>
      </c>
      <c r="K119" s="81">
        <f t="shared" si="28"/>
        <v>0.8508333333333333</v>
      </c>
      <c r="L119" s="81">
        <f t="shared" si="28"/>
        <v>0.07619047619047618</v>
      </c>
      <c r="M119" s="81">
        <f t="shared" si="28"/>
        <v>0.12</v>
      </c>
      <c r="N119" s="81">
        <f t="shared" si="28"/>
        <v>0.04527272727272727</v>
      </c>
      <c r="O119" s="81">
        <f t="shared" si="28"/>
        <v>0.03336363636363636</v>
      </c>
      <c r="P119" s="81">
        <f t="shared" si="28"/>
        <v>0.03266666666666666</v>
      </c>
      <c r="Q119" s="81">
        <f t="shared" si="28"/>
        <v>0.02666666666666667</v>
      </c>
      <c r="R119" s="81">
        <f t="shared" si="28"/>
        <v>0.0992</v>
      </c>
      <c r="S119" s="46">
        <f t="shared" si="28"/>
        <v>0.29750000000000004</v>
      </c>
      <c r="T119" s="51"/>
      <c r="U119" s="43"/>
      <c r="V119" s="43"/>
      <c r="W119" s="43"/>
    </row>
    <row r="120" spans="1:23" s="1" customFormat="1" ht="11.25" customHeight="1">
      <c r="A120" s="219" t="s">
        <v>76</v>
      </c>
      <c r="B120" s="220"/>
      <c r="C120" s="220"/>
      <c r="D120" s="221"/>
      <c r="E120" s="41">
        <f aca="true" t="shared" si="29" ref="E120:S120">SUM(E101,E111,E118)</f>
        <v>51.44866666666667</v>
      </c>
      <c r="F120" s="40">
        <f t="shared" si="29"/>
        <v>50.471333333333334</v>
      </c>
      <c r="G120" s="40">
        <f t="shared" si="29"/>
        <v>235.50400000000002</v>
      </c>
      <c r="H120" s="40">
        <f t="shared" si="29"/>
        <v>1602.0526666666667</v>
      </c>
      <c r="I120" s="41">
        <f t="shared" si="29"/>
        <v>1.4375</v>
      </c>
      <c r="J120" s="41">
        <f t="shared" si="29"/>
        <v>1.4686666666666666</v>
      </c>
      <c r="K120" s="52">
        <f t="shared" si="29"/>
        <v>106.76566666666666</v>
      </c>
      <c r="L120" s="41">
        <f t="shared" si="29"/>
        <v>1.4269333333333332</v>
      </c>
      <c r="M120" s="52">
        <f t="shared" si="29"/>
        <v>10.322333333333333</v>
      </c>
      <c r="N120" s="40">
        <f t="shared" si="29"/>
        <v>430.25733333333335</v>
      </c>
      <c r="O120" s="40">
        <f t="shared" si="29"/>
        <v>960.3118333333333</v>
      </c>
      <c r="P120" s="40">
        <f t="shared" si="29"/>
        <v>3.8513333333333333</v>
      </c>
      <c r="Q120" s="42">
        <f t="shared" si="29"/>
        <v>0.048999999999999995</v>
      </c>
      <c r="R120" s="41">
        <f t="shared" si="29"/>
        <v>246.3545</v>
      </c>
      <c r="S120" s="41">
        <f t="shared" si="29"/>
        <v>14.280333333333333</v>
      </c>
      <c r="T120" s="44"/>
      <c r="U120" s="43"/>
      <c r="V120" s="43"/>
      <c r="W120" s="43"/>
    </row>
    <row r="121" spans="1:23" s="1" customFormat="1" ht="11.25" customHeight="1">
      <c r="A121" s="219" t="s">
        <v>78</v>
      </c>
      <c r="B121" s="220"/>
      <c r="C121" s="220"/>
      <c r="D121" s="221"/>
      <c r="E121" s="76">
        <v>77</v>
      </c>
      <c r="F121" s="73">
        <v>79</v>
      </c>
      <c r="G121" s="73">
        <v>335</v>
      </c>
      <c r="H121" s="73">
        <v>2350</v>
      </c>
      <c r="I121" s="76">
        <v>1.2</v>
      </c>
      <c r="J121" s="76">
        <v>1.4</v>
      </c>
      <c r="K121" s="74">
        <v>60</v>
      </c>
      <c r="L121" s="76">
        <v>0.7</v>
      </c>
      <c r="M121" s="74">
        <v>10</v>
      </c>
      <c r="N121" s="74">
        <v>1100</v>
      </c>
      <c r="O121" s="74">
        <v>1100</v>
      </c>
      <c r="P121" s="74">
        <v>10</v>
      </c>
      <c r="Q121" s="73">
        <v>0.1</v>
      </c>
      <c r="R121" s="74">
        <v>250</v>
      </c>
      <c r="S121" s="76">
        <v>12</v>
      </c>
      <c r="T121" s="78"/>
      <c r="U121" s="79"/>
      <c r="V121" s="79"/>
      <c r="W121" s="79"/>
    </row>
    <row r="122" spans="1:23" s="8" customFormat="1" ht="11.25" customHeight="1">
      <c r="A122" s="229" t="s">
        <v>77</v>
      </c>
      <c r="B122" s="230"/>
      <c r="C122" s="230"/>
      <c r="D122" s="231"/>
      <c r="E122" s="81">
        <f aca="true" t="shared" si="30" ref="E122:S122">E120/E121</f>
        <v>0.6681645021645022</v>
      </c>
      <c r="F122" s="46">
        <f t="shared" si="30"/>
        <v>0.6388776371308017</v>
      </c>
      <c r="G122" s="46">
        <f t="shared" si="30"/>
        <v>0.7029970149253731</v>
      </c>
      <c r="H122" s="46">
        <f t="shared" si="30"/>
        <v>0.6817245390070922</v>
      </c>
      <c r="I122" s="46">
        <f t="shared" si="30"/>
        <v>1.1979166666666667</v>
      </c>
      <c r="J122" s="46">
        <f t="shared" si="30"/>
        <v>1.049047619047619</v>
      </c>
      <c r="K122" s="46">
        <f t="shared" si="30"/>
        <v>1.7794277777777776</v>
      </c>
      <c r="L122" s="47">
        <f t="shared" si="30"/>
        <v>2.0384761904761906</v>
      </c>
      <c r="M122" s="46">
        <f t="shared" si="30"/>
        <v>1.0322333333333333</v>
      </c>
      <c r="N122" s="46">
        <f t="shared" si="30"/>
        <v>0.3911430303030303</v>
      </c>
      <c r="O122" s="46">
        <f t="shared" si="30"/>
        <v>0.8730107575757575</v>
      </c>
      <c r="P122" s="46">
        <f t="shared" si="30"/>
        <v>0.3851333333333333</v>
      </c>
      <c r="Q122" s="47">
        <f t="shared" si="30"/>
        <v>0.48999999999999994</v>
      </c>
      <c r="R122" s="46">
        <f t="shared" si="30"/>
        <v>0.985418</v>
      </c>
      <c r="S122" s="47">
        <f t="shared" si="30"/>
        <v>1.1900277777777777</v>
      </c>
      <c r="T122" s="54"/>
      <c r="U122" s="55"/>
      <c r="V122" s="55"/>
      <c r="W122" s="55"/>
    </row>
    <row r="123" spans="1:23" s="1" customFormat="1" ht="11.25" customHeight="1">
      <c r="A123" s="62"/>
      <c r="B123" s="59"/>
      <c r="C123" s="59"/>
      <c r="D123" s="75"/>
      <c r="E123" s="36"/>
      <c r="F123" s="75"/>
      <c r="G123" s="75"/>
      <c r="H123" s="75"/>
      <c r="I123" s="75"/>
      <c r="J123" s="75"/>
      <c r="K123" s="75"/>
      <c r="L123" s="223"/>
      <c r="M123" s="223"/>
      <c r="N123" s="223"/>
      <c r="O123" s="223"/>
      <c r="P123" s="223"/>
      <c r="Q123" s="223"/>
      <c r="R123" s="223"/>
      <c r="S123" s="223"/>
      <c r="T123" s="12"/>
      <c r="U123" s="19"/>
      <c r="V123" s="19"/>
      <c r="W123" s="19"/>
    </row>
    <row r="124" spans="1:23" s="1" customFormat="1" ht="11.25" customHeight="1">
      <c r="A124" s="62"/>
      <c r="B124" s="59"/>
      <c r="C124" s="59"/>
      <c r="D124" s="75"/>
      <c r="E124" s="36"/>
      <c r="F124" s="75"/>
      <c r="G124" s="75"/>
      <c r="H124" s="75"/>
      <c r="I124" s="75"/>
      <c r="J124" s="75"/>
      <c r="K124" s="75"/>
      <c r="L124" s="162"/>
      <c r="M124" s="162"/>
      <c r="N124" s="162"/>
      <c r="O124" s="162"/>
      <c r="P124" s="162"/>
      <c r="Q124" s="162"/>
      <c r="R124" s="162"/>
      <c r="S124" s="162" t="s">
        <v>89</v>
      </c>
      <c r="T124" s="12"/>
      <c r="U124" s="19"/>
      <c r="V124" s="19"/>
      <c r="W124" s="19"/>
    </row>
    <row r="125" spans="1:23" s="1" customFormat="1" ht="11.25" customHeight="1">
      <c r="A125" s="236" t="s">
        <v>36</v>
      </c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13"/>
      <c r="U125" s="25"/>
      <c r="V125" s="25"/>
      <c r="W125" s="25"/>
    </row>
    <row r="126" spans="1:23" s="1" customFormat="1" ht="11.25" customHeight="1">
      <c r="A126" s="63" t="s">
        <v>66</v>
      </c>
      <c r="B126" s="59"/>
      <c r="C126" s="59"/>
      <c r="D126" s="2"/>
      <c r="E126" s="36"/>
      <c r="F126" s="224" t="s">
        <v>37</v>
      </c>
      <c r="G126" s="224"/>
      <c r="H126" s="224"/>
      <c r="I126" s="75"/>
      <c r="J126" s="75"/>
      <c r="K126" s="222" t="s">
        <v>1</v>
      </c>
      <c r="L126" s="222"/>
      <c r="M126" s="217" t="s">
        <v>85</v>
      </c>
      <c r="N126" s="217"/>
      <c r="O126" s="217"/>
      <c r="P126" s="217"/>
      <c r="Q126" s="75"/>
      <c r="R126" s="75"/>
      <c r="S126" s="75"/>
      <c r="T126" s="14"/>
      <c r="U126" s="20"/>
      <c r="V126" s="20"/>
      <c r="W126" s="20"/>
    </row>
    <row r="127" spans="1:23" s="1" customFormat="1" ht="11.25" customHeight="1">
      <c r="A127" s="59"/>
      <c r="B127" s="59"/>
      <c r="C127" s="59"/>
      <c r="D127" s="227" t="s">
        <v>2</v>
      </c>
      <c r="E127" s="227"/>
      <c r="F127" s="7">
        <v>1</v>
      </c>
      <c r="G127" s="75"/>
      <c r="H127" s="2"/>
      <c r="I127" s="2"/>
      <c r="J127" s="2"/>
      <c r="K127" s="227" t="s">
        <v>3</v>
      </c>
      <c r="L127" s="227"/>
      <c r="M127" s="228" t="s">
        <v>68</v>
      </c>
      <c r="N127" s="228"/>
      <c r="O127" s="228"/>
      <c r="P127" s="228"/>
      <c r="Q127" s="228"/>
      <c r="R127" s="228"/>
      <c r="S127" s="228"/>
      <c r="T127" s="15"/>
      <c r="U127" s="21"/>
      <c r="V127" s="21"/>
      <c r="W127" s="21"/>
    </row>
    <row r="128" spans="1:23" s="1" customFormat="1" ht="21.75" customHeight="1">
      <c r="A128" s="209" t="s">
        <v>4</v>
      </c>
      <c r="B128" s="211" t="s">
        <v>5</v>
      </c>
      <c r="C128" s="212"/>
      <c r="D128" s="209" t="s">
        <v>6</v>
      </c>
      <c r="E128" s="206" t="s">
        <v>7</v>
      </c>
      <c r="F128" s="207"/>
      <c r="G128" s="208"/>
      <c r="H128" s="209" t="s">
        <v>8</v>
      </c>
      <c r="I128" s="206" t="s">
        <v>9</v>
      </c>
      <c r="J128" s="207"/>
      <c r="K128" s="207"/>
      <c r="L128" s="207"/>
      <c r="M128" s="208"/>
      <c r="N128" s="206" t="s">
        <v>10</v>
      </c>
      <c r="O128" s="207"/>
      <c r="P128" s="207"/>
      <c r="Q128" s="207"/>
      <c r="R128" s="207"/>
      <c r="S128" s="208"/>
      <c r="T128" s="9"/>
      <c r="U128" s="22"/>
      <c r="V128" s="22"/>
      <c r="W128" s="22"/>
    </row>
    <row r="129" spans="1:23" s="1" customFormat="1" ht="21" customHeight="1">
      <c r="A129" s="210"/>
      <c r="B129" s="213"/>
      <c r="C129" s="214"/>
      <c r="D129" s="210"/>
      <c r="E129" s="96" t="s">
        <v>11</v>
      </c>
      <c r="F129" s="108" t="s">
        <v>12</v>
      </c>
      <c r="G129" s="108" t="s">
        <v>13</v>
      </c>
      <c r="H129" s="210"/>
      <c r="I129" s="108" t="s">
        <v>14</v>
      </c>
      <c r="J129" s="108" t="s">
        <v>69</v>
      </c>
      <c r="K129" s="108" t="s">
        <v>15</v>
      </c>
      <c r="L129" s="108" t="s">
        <v>16</v>
      </c>
      <c r="M129" s="108" t="s">
        <v>17</v>
      </c>
      <c r="N129" s="108" t="s">
        <v>18</v>
      </c>
      <c r="O129" s="108" t="s">
        <v>19</v>
      </c>
      <c r="P129" s="108" t="s">
        <v>70</v>
      </c>
      <c r="Q129" s="108" t="s">
        <v>71</v>
      </c>
      <c r="R129" s="108" t="s">
        <v>20</v>
      </c>
      <c r="S129" s="108" t="s">
        <v>21</v>
      </c>
      <c r="T129" s="9"/>
      <c r="U129" s="22"/>
      <c r="V129" s="22"/>
      <c r="W129" s="22"/>
    </row>
    <row r="130" spans="1:23" s="1" customFormat="1" ht="11.25" customHeight="1">
      <c r="A130" s="105">
        <v>1</v>
      </c>
      <c r="B130" s="198">
        <v>2</v>
      </c>
      <c r="C130" s="199"/>
      <c r="D130" s="39">
        <v>3</v>
      </c>
      <c r="E130" s="97">
        <v>4</v>
      </c>
      <c r="F130" s="39">
        <v>5</v>
      </c>
      <c r="G130" s="39">
        <v>6</v>
      </c>
      <c r="H130" s="39">
        <v>7</v>
      </c>
      <c r="I130" s="39">
        <v>8</v>
      </c>
      <c r="J130" s="39">
        <v>9</v>
      </c>
      <c r="K130" s="39">
        <v>10</v>
      </c>
      <c r="L130" s="39">
        <v>11</v>
      </c>
      <c r="M130" s="39">
        <v>12</v>
      </c>
      <c r="N130" s="39">
        <v>13</v>
      </c>
      <c r="O130" s="39">
        <v>14</v>
      </c>
      <c r="P130" s="39">
        <v>15</v>
      </c>
      <c r="Q130" s="39">
        <v>16</v>
      </c>
      <c r="R130" s="39">
        <v>17</v>
      </c>
      <c r="S130" s="39">
        <v>18</v>
      </c>
      <c r="T130" s="10"/>
      <c r="U130" s="23"/>
      <c r="V130" s="23"/>
      <c r="W130" s="23"/>
    </row>
    <row r="131" spans="1:23" s="1" customFormat="1" ht="11.25" customHeight="1">
      <c r="A131" s="203" t="s">
        <v>22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5"/>
      <c r="T131" s="11"/>
      <c r="U131" s="24"/>
      <c r="V131" s="24"/>
      <c r="W131" s="24"/>
    </row>
    <row r="132" spans="1:23" s="1" customFormat="1" ht="12" customHeight="1">
      <c r="A132" s="113">
        <v>338</v>
      </c>
      <c r="B132" s="191" t="s">
        <v>168</v>
      </c>
      <c r="C132" s="191"/>
      <c r="D132" s="74">
        <v>100</v>
      </c>
      <c r="E132" s="76">
        <v>0.4</v>
      </c>
      <c r="F132" s="76">
        <v>0.4</v>
      </c>
      <c r="G132" s="76">
        <v>9.8</v>
      </c>
      <c r="H132" s="76">
        <f>E132*4+F132*9+G132*4</f>
        <v>44.400000000000006</v>
      </c>
      <c r="I132" s="76">
        <v>0.04</v>
      </c>
      <c r="J132" s="76">
        <v>0.02</v>
      </c>
      <c r="K132" s="74">
        <v>10</v>
      </c>
      <c r="L132" s="74">
        <v>0.02</v>
      </c>
      <c r="M132" s="76">
        <v>0.2</v>
      </c>
      <c r="N132" s="76">
        <v>16</v>
      </c>
      <c r="O132" s="76">
        <v>11</v>
      </c>
      <c r="P132" s="74">
        <v>0.03</v>
      </c>
      <c r="Q132" s="74">
        <v>0.002</v>
      </c>
      <c r="R132" s="76">
        <v>9</v>
      </c>
      <c r="S132" s="76">
        <v>2.2</v>
      </c>
      <c r="T132" s="78"/>
      <c r="U132" s="79"/>
      <c r="V132" s="79"/>
      <c r="W132" s="79"/>
    </row>
    <row r="133" spans="1:23" s="3" customFormat="1" ht="33.75" customHeight="1">
      <c r="A133" s="121" t="s">
        <v>151</v>
      </c>
      <c r="B133" s="218" t="s">
        <v>152</v>
      </c>
      <c r="C133" s="218"/>
      <c r="D133" s="72" t="s">
        <v>153</v>
      </c>
      <c r="E133" s="76">
        <v>8.74</v>
      </c>
      <c r="F133" s="76">
        <v>8.31</v>
      </c>
      <c r="G133" s="76">
        <v>10.71</v>
      </c>
      <c r="H133" s="76">
        <f>E133*4+F133*9+G133*4</f>
        <v>152.59</v>
      </c>
      <c r="I133" s="77">
        <v>0.043</v>
      </c>
      <c r="J133" s="77">
        <v>0.036</v>
      </c>
      <c r="K133" s="76">
        <v>0.29</v>
      </c>
      <c r="L133" s="77">
        <v>0.043</v>
      </c>
      <c r="M133" s="77">
        <v>2.486</v>
      </c>
      <c r="N133" s="76">
        <v>162.86</v>
      </c>
      <c r="O133" s="76">
        <v>171.43</v>
      </c>
      <c r="P133" s="76">
        <v>2.27</v>
      </c>
      <c r="Q133" s="77">
        <v>0.017</v>
      </c>
      <c r="R133" s="76">
        <v>15.69</v>
      </c>
      <c r="S133" s="76">
        <v>1.43</v>
      </c>
      <c r="T133" s="78"/>
      <c r="U133" s="79"/>
      <c r="V133" s="79"/>
      <c r="W133" s="79"/>
    </row>
    <row r="134" spans="1:23" s="3" customFormat="1" ht="24" customHeight="1">
      <c r="A134" s="105">
        <v>203</v>
      </c>
      <c r="B134" s="192" t="s">
        <v>114</v>
      </c>
      <c r="C134" s="193"/>
      <c r="D134" s="74">
        <v>150</v>
      </c>
      <c r="E134" s="76">
        <f>5.7*D134/150</f>
        <v>5.7</v>
      </c>
      <c r="F134" s="76">
        <f>3.43*D134/150</f>
        <v>3.43</v>
      </c>
      <c r="G134" s="76">
        <f>36.45*D134/150</f>
        <v>36.45</v>
      </c>
      <c r="H134" s="76">
        <f>E134*4+F134*9+G134*4</f>
        <v>199.47000000000003</v>
      </c>
      <c r="I134" s="76">
        <f>0.09*D134/150</f>
        <v>0.09</v>
      </c>
      <c r="J134" s="76">
        <f>0.03*D134/150</f>
        <v>0.03</v>
      </c>
      <c r="K134" s="76">
        <v>0</v>
      </c>
      <c r="L134" s="77">
        <f>0.03*D134/150</f>
        <v>0.03</v>
      </c>
      <c r="M134" s="76">
        <f>1.25*D134/150</f>
        <v>1.25</v>
      </c>
      <c r="N134" s="76">
        <f>13.28*D134/150</f>
        <v>13.28</v>
      </c>
      <c r="O134" s="76">
        <f>46.21*D134/150</f>
        <v>46.21</v>
      </c>
      <c r="P134" s="76">
        <f>0.78*D134/150</f>
        <v>0.78</v>
      </c>
      <c r="Q134" s="77">
        <f>0.0015*D134/150</f>
        <v>0.0015</v>
      </c>
      <c r="R134" s="76">
        <f>8.47*D134/150</f>
        <v>8.47</v>
      </c>
      <c r="S134" s="76">
        <f>0.86*D134/150</f>
        <v>0.86</v>
      </c>
      <c r="T134" s="78"/>
      <c r="U134" s="79"/>
      <c r="V134" s="79"/>
      <c r="W134" s="79"/>
    </row>
    <row r="135" spans="1:23" s="3" customFormat="1" ht="12.75" customHeight="1">
      <c r="A135" s="105">
        <v>377</v>
      </c>
      <c r="B135" s="191" t="s">
        <v>47</v>
      </c>
      <c r="C135" s="191"/>
      <c r="D135" s="74" t="s">
        <v>54</v>
      </c>
      <c r="E135" s="76">
        <v>0.26</v>
      </c>
      <c r="F135" s="76">
        <v>0.06</v>
      </c>
      <c r="G135" s="76">
        <v>15.22</v>
      </c>
      <c r="H135" s="76">
        <f>E135*4+F135*9+G135*4</f>
        <v>62.46</v>
      </c>
      <c r="I135" s="76"/>
      <c r="J135" s="76">
        <v>0.01</v>
      </c>
      <c r="K135" s="76">
        <v>2.9</v>
      </c>
      <c r="L135" s="72">
        <v>0</v>
      </c>
      <c r="M135" s="76">
        <v>0.06</v>
      </c>
      <c r="N135" s="76">
        <v>8.05</v>
      </c>
      <c r="O135" s="76">
        <v>9.78</v>
      </c>
      <c r="P135" s="76">
        <v>0.017</v>
      </c>
      <c r="Q135" s="77">
        <v>0</v>
      </c>
      <c r="R135" s="76">
        <v>5.24</v>
      </c>
      <c r="S135" s="76">
        <v>0.87</v>
      </c>
      <c r="T135" s="78"/>
      <c r="U135" s="79"/>
      <c r="V135" s="79"/>
      <c r="W135" s="79"/>
    </row>
    <row r="136" spans="1:23" s="3" customFormat="1" ht="11.25" customHeight="1">
      <c r="A136" s="82" t="s">
        <v>90</v>
      </c>
      <c r="B136" s="192" t="s">
        <v>62</v>
      </c>
      <c r="C136" s="193"/>
      <c r="D136" s="74">
        <v>40</v>
      </c>
      <c r="E136" s="76">
        <f>1.52*D136/30</f>
        <v>2.0266666666666664</v>
      </c>
      <c r="F136" s="77">
        <f>0.16*D136/30</f>
        <v>0.21333333333333335</v>
      </c>
      <c r="G136" s="77">
        <f>9.84*D136/30</f>
        <v>13.120000000000001</v>
      </c>
      <c r="H136" s="77">
        <f>E136*4+F136*9+G136*4</f>
        <v>62.50666666666667</v>
      </c>
      <c r="I136" s="77">
        <f>0.02*D136/30</f>
        <v>0.02666666666666667</v>
      </c>
      <c r="J136" s="77">
        <f>0.01*D136/30</f>
        <v>0.013333333333333334</v>
      </c>
      <c r="K136" s="77">
        <f>0.44*D136/30</f>
        <v>0.5866666666666667</v>
      </c>
      <c r="L136" s="77">
        <v>0</v>
      </c>
      <c r="M136" s="77">
        <f>0.7*D136/30</f>
        <v>0.9333333333333333</v>
      </c>
      <c r="N136" s="77">
        <f>4*D136/30</f>
        <v>5.333333333333333</v>
      </c>
      <c r="O136" s="77">
        <f>13*D136/30</f>
        <v>17.333333333333332</v>
      </c>
      <c r="P136" s="77">
        <f>0.008*D136/30</f>
        <v>0.010666666666666666</v>
      </c>
      <c r="Q136" s="77">
        <f>0.001*D136/30</f>
        <v>0.0013333333333333333</v>
      </c>
      <c r="R136" s="77">
        <v>0</v>
      </c>
      <c r="S136" s="77">
        <f>0.22*D136/30</f>
        <v>0.29333333333333333</v>
      </c>
      <c r="T136" s="78"/>
      <c r="U136" s="79"/>
      <c r="V136" s="79"/>
      <c r="W136" s="79"/>
    </row>
    <row r="137" spans="1:23" s="3" customFormat="1" ht="11.25" customHeight="1">
      <c r="A137" s="66" t="s">
        <v>24</v>
      </c>
      <c r="B137" s="67"/>
      <c r="C137" s="67"/>
      <c r="D137" s="126">
        <v>584</v>
      </c>
      <c r="E137" s="41">
        <f>SUM(E132:E136)</f>
        <v>17.126666666666665</v>
      </c>
      <c r="F137" s="40">
        <f>SUM(F132:F136)</f>
        <v>12.413333333333334</v>
      </c>
      <c r="G137" s="40">
        <f>SUM(G132:G136)</f>
        <v>85.30000000000001</v>
      </c>
      <c r="H137" s="40">
        <f>SUM(H132:H136)</f>
        <v>521.4266666666667</v>
      </c>
      <c r="I137" s="41">
        <f>SUM(I132:I136)</f>
        <v>0.19966666666666666</v>
      </c>
      <c r="J137" s="41">
        <f aca="true" t="shared" si="31" ref="J137:S137">SUM(J132:J136)</f>
        <v>0.10933333333333332</v>
      </c>
      <c r="K137" s="41">
        <f t="shared" si="31"/>
        <v>13.776666666666666</v>
      </c>
      <c r="L137" s="42">
        <f t="shared" si="31"/>
        <v>0.093</v>
      </c>
      <c r="M137" s="41">
        <f t="shared" si="31"/>
        <v>4.929333333333334</v>
      </c>
      <c r="N137" s="40">
        <f t="shared" si="31"/>
        <v>205.52333333333337</v>
      </c>
      <c r="O137" s="40">
        <f t="shared" si="31"/>
        <v>255.75333333333336</v>
      </c>
      <c r="P137" s="41">
        <f t="shared" si="31"/>
        <v>3.107666666666667</v>
      </c>
      <c r="Q137" s="42">
        <f t="shared" si="31"/>
        <v>0.021833333333333337</v>
      </c>
      <c r="R137" s="40">
        <f t="shared" si="31"/>
        <v>38.4</v>
      </c>
      <c r="S137" s="41">
        <f t="shared" si="31"/>
        <v>5.653333333333333</v>
      </c>
      <c r="T137" s="40"/>
      <c r="U137" s="43"/>
      <c r="V137" s="43"/>
      <c r="W137" s="43"/>
    </row>
    <row r="138" spans="1:23" s="3" customFormat="1" ht="11.25" customHeight="1">
      <c r="A138" s="229" t="s">
        <v>77</v>
      </c>
      <c r="B138" s="230"/>
      <c r="C138" s="230"/>
      <c r="D138" s="231"/>
      <c r="E138" s="102">
        <f aca="true" t="shared" si="32" ref="E138:S138">E137/E157</f>
        <v>0.2224242424242424</v>
      </c>
      <c r="F138" s="81">
        <f t="shared" si="32"/>
        <v>0.15713080168776372</v>
      </c>
      <c r="G138" s="81">
        <f t="shared" si="32"/>
        <v>0.25462686567164183</v>
      </c>
      <c r="H138" s="81">
        <f t="shared" si="32"/>
        <v>0.22188368794326244</v>
      </c>
      <c r="I138" s="81">
        <f t="shared" si="32"/>
        <v>0.1663888888888889</v>
      </c>
      <c r="J138" s="81">
        <f t="shared" si="32"/>
        <v>0.07809523809523809</v>
      </c>
      <c r="K138" s="81">
        <f t="shared" si="32"/>
        <v>0.2296111111111111</v>
      </c>
      <c r="L138" s="81">
        <f t="shared" si="32"/>
        <v>0.13285714285714287</v>
      </c>
      <c r="M138" s="81">
        <f t="shared" si="32"/>
        <v>0.4929333333333334</v>
      </c>
      <c r="N138" s="46">
        <f t="shared" si="32"/>
        <v>0.18683939393939397</v>
      </c>
      <c r="O138" s="81">
        <f t="shared" si="32"/>
        <v>0.23250303030303032</v>
      </c>
      <c r="P138" s="81">
        <f t="shared" si="32"/>
        <v>0.3107666666666667</v>
      </c>
      <c r="Q138" s="81">
        <f t="shared" si="32"/>
        <v>0.21833333333333335</v>
      </c>
      <c r="R138" s="81">
        <f t="shared" si="32"/>
        <v>0.1536</v>
      </c>
      <c r="S138" s="46">
        <f t="shared" si="32"/>
        <v>0.4711111111111111</v>
      </c>
      <c r="T138" s="51"/>
      <c r="U138" s="43"/>
      <c r="V138" s="43"/>
      <c r="W138" s="43"/>
    </row>
    <row r="139" spans="1:23" s="3" customFormat="1" ht="11.25" customHeight="1">
      <c r="A139" s="203" t="s">
        <v>27</v>
      </c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5"/>
      <c r="T139" s="11"/>
      <c r="U139" s="24"/>
      <c r="V139" s="24"/>
      <c r="W139" s="24"/>
    </row>
    <row r="140" spans="1:23" s="75" customFormat="1" ht="22.5" customHeight="1">
      <c r="A140" s="149" t="s">
        <v>143</v>
      </c>
      <c r="B140" s="244" t="s">
        <v>132</v>
      </c>
      <c r="C140" s="245"/>
      <c r="D140" s="156">
        <v>60</v>
      </c>
      <c r="E140" s="150">
        <f>0.94*D140/60</f>
        <v>0.94</v>
      </c>
      <c r="F140" s="156">
        <f>7.22*D140/60</f>
        <v>7.22</v>
      </c>
      <c r="G140" s="156">
        <f>5.27*D140/60</f>
        <v>5.27</v>
      </c>
      <c r="H140" s="152">
        <f aca="true" t="shared" si="33" ref="H140:H146">E140*4+F140*9+G140*4</f>
        <v>89.82000000000001</v>
      </c>
      <c r="I140" s="156">
        <f>0.03*D140/60</f>
        <v>0.029999999999999995</v>
      </c>
      <c r="J140" s="156">
        <f>0.03*D140/60</f>
        <v>0.029999999999999995</v>
      </c>
      <c r="K140" s="156">
        <f>12.4*D140/60</f>
        <v>12.4</v>
      </c>
      <c r="L140" s="156">
        <f>0.001*D140/60</f>
        <v>0.001</v>
      </c>
      <c r="M140" s="156">
        <f>1.5*D140/60</f>
        <v>1.5</v>
      </c>
      <c r="N140" s="156">
        <f>19.7*D140/60</f>
        <v>19.7</v>
      </c>
      <c r="O140" s="157">
        <f>20.31*D140/60</f>
        <v>20.31</v>
      </c>
      <c r="P140" s="156">
        <f>0.3*D140/60</f>
        <v>0.3</v>
      </c>
      <c r="Q140" s="156">
        <f>0.001*D140/60</f>
        <v>0.001</v>
      </c>
      <c r="R140" s="156">
        <f>9.98*D140/60</f>
        <v>9.98</v>
      </c>
      <c r="S140" s="156">
        <f>0.34*D140/60</f>
        <v>0.34</v>
      </c>
      <c r="T140" s="11"/>
      <c r="U140" s="24"/>
      <c r="V140" s="24"/>
      <c r="W140" s="24"/>
    </row>
    <row r="141" spans="1:23" s="3" customFormat="1" ht="22.5" customHeight="1">
      <c r="A141" s="105">
        <v>56</v>
      </c>
      <c r="B141" s="191" t="s">
        <v>46</v>
      </c>
      <c r="C141" s="191"/>
      <c r="D141" s="74">
        <v>60</v>
      </c>
      <c r="E141" s="76">
        <v>0.9</v>
      </c>
      <c r="F141" s="73">
        <v>3.1</v>
      </c>
      <c r="G141" s="73">
        <v>5.6</v>
      </c>
      <c r="H141" s="76">
        <f t="shared" si="33"/>
        <v>53.900000000000006</v>
      </c>
      <c r="I141" s="72">
        <v>0.1</v>
      </c>
      <c r="J141" s="72">
        <v>0.1</v>
      </c>
      <c r="K141" s="73">
        <v>12.3</v>
      </c>
      <c r="L141" s="72">
        <v>0.02</v>
      </c>
      <c r="M141" s="72">
        <v>0.5</v>
      </c>
      <c r="N141" s="73">
        <v>59.9</v>
      </c>
      <c r="O141" s="73">
        <v>31.3</v>
      </c>
      <c r="P141" s="80">
        <v>0.4228</v>
      </c>
      <c r="Q141" s="77">
        <v>0.003</v>
      </c>
      <c r="R141" s="73">
        <v>16.3</v>
      </c>
      <c r="S141" s="76">
        <v>0.7</v>
      </c>
      <c r="T141" s="78"/>
      <c r="U141" s="79"/>
      <c r="V141" s="79"/>
      <c r="W141" s="79"/>
    </row>
    <row r="142" spans="1:23" s="3" customFormat="1" ht="15" customHeight="1">
      <c r="A142" s="105">
        <v>96</v>
      </c>
      <c r="B142" s="192" t="s">
        <v>133</v>
      </c>
      <c r="C142" s="193"/>
      <c r="D142" s="74">
        <v>200</v>
      </c>
      <c r="E142" s="76">
        <f>2.6*D142/250</f>
        <v>2.08</v>
      </c>
      <c r="F142" s="73">
        <f>6.13*D142/250</f>
        <v>4.904</v>
      </c>
      <c r="G142" s="73">
        <f>17.03*D142/250</f>
        <v>13.624</v>
      </c>
      <c r="H142" s="76">
        <f t="shared" si="33"/>
        <v>106.952</v>
      </c>
      <c r="I142" s="76">
        <f>0.123*D142/250</f>
        <v>0.0984</v>
      </c>
      <c r="J142" s="77">
        <f>0.074*D142/250</f>
        <v>0.059199999999999996</v>
      </c>
      <c r="K142" s="73">
        <f>16.03*D142/250</f>
        <v>12.824</v>
      </c>
      <c r="L142" s="76">
        <f>0.035*D142/250</f>
        <v>0.028000000000000004</v>
      </c>
      <c r="M142" s="72">
        <v>0</v>
      </c>
      <c r="N142" s="73">
        <f>25.3*D142/250</f>
        <v>20.24</v>
      </c>
      <c r="O142" s="73">
        <f>71.05*D142/250</f>
        <v>56.84</v>
      </c>
      <c r="P142" s="74">
        <v>0</v>
      </c>
      <c r="Q142" s="74">
        <v>0</v>
      </c>
      <c r="R142" s="73">
        <f>26.725*D142/250</f>
        <v>21.38</v>
      </c>
      <c r="S142" s="76">
        <f>0.95*D142/250</f>
        <v>0.76</v>
      </c>
      <c r="T142" s="78"/>
      <c r="U142" s="79"/>
      <c r="V142" s="79"/>
      <c r="W142" s="79"/>
    </row>
    <row r="143" spans="1:23" s="75" customFormat="1" ht="15.75" customHeight="1">
      <c r="A143" s="121">
        <v>263</v>
      </c>
      <c r="B143" s="192" t="s">
        <v>154</v>
      </c>
      <c r="C143" s="193"/>
      <c r="D143" s="74">
        <v>240</v>
      </c>
      <c r="E143" s="76">
        <v>15.5</v>
      </c>
      <c r="F143" s="76">
        <v>35.91</v>
      </c>
      <c r="G143" s="73">
        <v>19.5</v>
      </c>
      <c r="H143" s="76">
        <f t="shared" si="33"/>
        <v>463.18999999999994</v>
      </c>
      <c r="I143" s="77">
        <v>0.751</v>
      </c>
      <c r="J143" s="77">
        <v>0.228</v>
      </c>
      <c r="K143" s="73">
        <v>24.1</v>
      </c>
      <c r="L143" s="76">
        <v>0.44</v>
      </c>
      <c r="M143" s="76">
        <v>1.5</v>
      </c>
      <c r="N143" s="76">
        <v>30.15</v>
      </c>
      <c r="O143" s="76">
        <v>209.42</v>
      </c>
      <c r="P143" s="76">
        <v>2.02</v>
      </c>
      <c r="Q143" s="77">
        <v>0.036</v>
      </c>
      <c r="R143" s="76">
        <v>49.3</v>
      </c>
      <c r="S143" s="76">
        <v>2.35</v>
      </c>
      <c r="T143" s="78"/>
      <c r="U143" s="79"/>
      <c r="V143" s="79"/>
      <c r="W143" s="79"/>
    </row>
    <row r="144" spans="1:23" s="3" customFormat="1" ht="11.25">
      <c r="A144" s="105">
        <v>389</v>
      </c>
      <c r="B144" s="192" t="s">
        <v>129</v>
      </c>
      <c r="C144" s="193"/>
      <c r="D144" s="74">
        <v>200</v>
      </c>
      <c r="E144" s="76">
        <v>1</v>
      </c>
      <c r="F144" s="76">
        <v>0.2</v>
      </c>
      <c r="G144" s="76">
        <v>20.2</v>
      </c>
      <c r="H144" s="76">
        <f t="shared" si="33"/>
        <v>86.6</v>
      </c>
      <c r="I144" s="72">
        <v>0.02</v>
      </c>
      <c r="J144" s="72">
        <v>0.02</v>
      </c>
      <c r="K144" s="73">
        <v>4.8</v>
      </c>
      <c r="L144" s="72">
        <v>0</v>
      </c>
      <c r="M144" s="72">
        <v>0</v>
      </c>
      <c r="N144" s="73">
        <v>14</v>
      </c>
      <c r="O144" s="73">
        <v>18</v>
      </c>
      <c r="P144" s="73">
        <v>0.03</v>
      </c>
      <c r="Q144" s="73">
        <v>0</v>
      </c>
      <c r="R144" s="73">
        <v>8</v>
      </c>
      <c r="S144" s="76">
        <v>0.72</v>
      </c>
      <c r="T144" s="78"/>
      <c r="U144" s="79"/>
      <c r="V144" s="79"/>
      <c r="W144" s="79"/>
    </row>
    <row r="145" spans="1:23" s="3" customFormat="1" ht="11.25" customHeight="1">
      <c r="A145" s="83" t="s">
        <v>90</v>
      </c>
      <c r="B145" s="192" t="s">
        <v>48</v>
      </c>
      <c r="C145" s="193"/>
      <c r="D145" s="74">
        <v>40</v>
      </c>
      <c r="E145" s="76">
        <f>2.64*D145/40</f>
        <v>2.64</v>
      </c>
      <c r="F145" s="76">
        <f>0.48*D145/40</f>
        <v>0.48</v>
      </c>
      <c r="G145" s="76">
        <f>13.68*D145/40</f>
        <v>13.680000000000001</v>
      </c>
      <c r="H145" s="73">
        <f t="shared" si="33"/>
        <v>69.60000000000001</v>
      </c>
      <c r="I145" s="72">
        <f>0.08*D145/40</f>
        <v>0.08</v>
      </c>
      <c r="J145" s="76">
        <f>0.04*D145/40</f>
        <v>0.04</v>
      </c>
      <c r="K145" s="74">
        <v>0</v>
      </c>
      <c r="L145" s="74">
        <v>0</v>
      </c>
      <c r="M145" s="76">
        <f>2.4*D145/40</f>
        <v>2.4</v>
      </c>
      <c r="N145" s="76">
        <f>14*D145/40</f>
        <v>14</v>
      </c>
      <c r="O145" s="76">
        <f>63.2*D145/40</f>
        <v>63.2</v>
      </c>
      <c r="P145" s="76">
        <f>1.2*D145/40</f>
        <v>1.2</v>
      </c>
      <c r="Q145" s="77">
        <f>0.001*D145/40</f>
        <v>0.001</v>
      </c>
      <c r="R145" s="76">
        <f>9.4*D145/40</f>
        <v>9.4</v>
      </c>
      <c r="S145" s="72">
        <f>0.78*D145/40</f>
        <v>0.78</v>
      </c>
      <c r="T145" s="30"/>
      <c r="U145" s="31"/>
      <c r="V145" s="31"/>
      <c r="W145" s="31"/>
    </row>
    <row r="146" spans="1:23" s="3" customFormat="1" ht="11.25" customHeight="1">
      <c r="A146" s="82" t="s">
        <v>90</v>
      </c>
      <c r="B146" s="192" t="s">
        <v>62</v>
      </c>
      <c r="C146" s="193"/>
      <c r="D146" s="74">
        <v>30</v>
      </c>
      <c r="E146" s="76">
        <f>1.52*D146/30</f>
        <v>1.52</v>
      </c>
      <c r="F146" s="77">
        <f>0.16*D146/30</f>
        <v>0.16</v>
      </c>
      <c r="G146" s="77">
        <f>9.84*D146/30</f>
        <v>9.84</v>
      </c>
      <c r="H146" s="77">
        <f t="shared" si="33"/>
        <v>46.879999999999995</v>
      </c>
      <c r="I146" s="77">
        <f>0.02*D146/30</f>
        <v>0.02</v>
      </c>
      <c r="J146" s="77">
        <f>0.01*D146/30</f>
        <v>0.01</v>
      </c>
      <c r="K146" s="77">
        <f>0.44*D146/30</f>
        <v>0.44</v>
      </c>
      <c r="L146" s="77">
        <v>0</v>
      </c>
      <c r="M146" s="77">
        <f>0.7*D146/30</f>
        <v>0.7</v>
      </c>
      <c r="N146" s="77">
        <f>4*D146/30</f>
        <v>4</v>
      </c>
      <c r="O146" s="77">
        <f>13*D146/30</f>
        <v>13</v>
      </c>
      <c r="P146" s="77">
        <f>0.008*D146/30</f>
        <v>0.008</v>
      </c>
      <c r="Q146" s="77">
        <f>0.001*D146/30</f>
        <v>0.001</v>
      </c>
      <c r="R146" s="77">
        <v>0</v>
      </c>
      <c r="S146" s="77">
        <f>0.22*D146/30</f>
        <v>0.22</v>
      </c>
      <c r="T146" s="37"/>
      <c r="U146" s="38"/>
      <c r="V146" s="38"/>
      <c r="W146" s="38"/>
    </row>
    <row r="147" spans="1:23" s="3" customFormat="1" ht="11.25" customHeight="1">
      <c r="A147" s="66" t="s">
        <v>28</v>
      </c>
      <c r="B147" s="67"/>
      <c r="C147" s="67"/>
      <c r="D147" s="126">
        <v>770</v>
      </c>
      <c r="E147" s="41">
        <f>SUM(E141:E146)</f>
        <v>23.64</v>
      </c>
      <c r="F147" s="41">
        <f>SUM(F141:F146)</f>
        <v>44.75399999999999</v>
      </c>
      <c r="G147" s="41">
        <f>SUM(G141:G146)</f>
        <v>82.44400000000002</v>
      </c>
      <c r="H147" s="41">
        <f>SUM(H141:H146)</f>
        <v>827.122</v>
      </c>
      <c r="I147" s="41">
        <f aca="true" t="shared" si="34" ref="I147:S147">SUM(I141:I146)</f>
        <v>1.0694000000000001</v>
      </c>
      <c r="J147" s="41">
        <f t="shared" si="34"/>
        <v>0.4572</v>
      </c>
      <c r="K147" s="41">
        <f t="shared" si="34"/>
        <v>54.464</v>
      </c>
      <c r="L147" s="41">
        <f t="shared" si="34"/>
        <v>0.488</v>
      </c>
      <c r="M147" s="41">
        <f t="shared" si="34"/>
        <v>5.1000000000000005</v>
      </c>
      <c r="N147" s="41">
        <f t="shared" si="34"/>
        <v>142.29</v>
      </c>
      <c r="O147" s="41">
        <f t="shared" si="34"/>
        <v>391.76</v>
      </c>
      <c r="P147" s="41">
        <f t="shared" si="34"/>
        <v>3.6807999999999996</v>
      </c>
      <c r="Q147" s="41">
        <f t="shared" si="34"/>
        <v>0.041</v>
      </c>
      <c r="R147" s="41">
        <f t="shared" si="34"/>
        <v>104.38</v>
      </c>
      <c r="S147" s="41">
        <f t="shared" si="34"/>
        <v>5.53</v>
      </c>
      <c r="T147" s="40"/>
      <c r="U147" s="43"/>
      <c r="V147" s="43"/>
      <c r="W147" s="43"/>
    </row>
    <row r="148" spans="1:23" s="3" customFormat="1" ht="11.25" customHeight="1">
      <c r="A148" s="229" t="s">
        <v>77</v>
      </c>
      <c r="B148" s="230"/>
      <c r="C148" s="230"/>
      <c r="D148" s="231"/>
      <c r="E148" s="102">
        <f>E147/E157</f>
        <v>0.307012987012987</v>
      </c>
      <c r="F148" s="81">
        <f aca="true" t="shared" si="35" ref="F148:S148">F147/F157</f>
        <v>0.566506329113924</v>
      </c>
      <c r="G148" s="81">
        <f t="shared" si="35"/>
        <v>0.24610149253731348</v>
      </c>
      <c r="H148" s="81">
        <f t="shared" si="35"/>
        <v>0.3519668085106383</v>
      </c>
      <c r="I148" s="81">
        <f t="shared" si="35"/>
        <v>0.8911666666666668</v>
      </c>
      <c r="J148" s="81">
        <f t="shared" si="35"/>
        <v>0.32657142857142857</v>
      </c>
      <c r="K148" s="81">
        <f t="shared" si="35"/>
        <v>0.9077333333333333</v>
      </c>
      <c r="L148" s="81">
        <f t="shared" si="35"/>
        <v>0.6971428571428572</v>
      </c>
      <c r="M148" s="81">
        <f t="shared" si="35"/>
        <v>0.51</v>
      </c>
      <c r="N148" s="46">
        <f t="shared" si="35"/>
        <v>0.12935454545454544</v>
      </c>
      <c r="O148" s="81">
        <f t="shared" si="35"/>
        <v>0.35614545454545454</v>
      </c>
      <c r="P148" s="81">
        <f t="shared" si="35"/>
        <v>0.36807999999999996</v>
      </c>
      <c r="Q148" s="81">
        <f t="shared" si="35"/>
        <v>0.41</v>
      </c>
      <c r="R148" s="81">
        <f t="shared" si="35"/>
        <v>0.41752</v>
      </c>
      <c r="S148" s="46">
        <f t="shared" si="35"/>
        <v>0.4608333333333334</v>
      </c>
      <c r="T148" s="51"/>
      <c r="U148" s="43"/>
      <c r="V148" s="43"/>
      <c r="W148" s="43"/>
    </row>
    <row r="149" spans="1:23" s="75" customFormat="1" ht="11.25" customHeight="1">
      <c r="A149" s="119" t="s">
        <v>109</v>
      </c>
      <c r="B149" s="120"/>
      <c r="C149" s="120"/>
      <c r="D149" s="120"/>
      <c r="E149" s="45">
        <f>E140+E142+E143+E144+E145+E146</f>
        <v>23.68</v>
      </c>
      <c r="F149" s="45">
        <f aca="true" t="shared" si="36" ref="F149:S149">F140+F142+F143+F144+F145+F146</f>
        <v>48.87399999999999</v>
      </c>
      <c r="G149" s="45">
        <f t="shared" si="36"/>
        <v>82.114</v>
      </c>
      <c r="H149" s="45">
        <f t="shared" si="36"/>
        <v>863.042</v>
      </c>
      <c r="I149" s="45">
        <f t="shared" si="36"/>
        <v>0.9994</v>
      </c>
      <c r="J149" s="45">
        <f t="shared" si="36"/>
        <v>0.3872</v>
      </c>
      <c r="K149" s="45">
        <f t="shared" si="36"/>
        <v>54.56399999999999</v>
      </c>
      <c r="L149" s="45">
        <f t="shared" si="36"/>
        <v>0.46900000000000003</v>
      </c>
      <c r="M149" s="45">
        <f t="shared" si="36"/>
        <v>6.1000000000000005</v>
      </c>
      <c r="N149" s="45">
        <f t="shared" si="36"/>
        <v>102.09</v>
      </c>
      <c r="O149" s="45">
        <f t="shared" si="36"/>
        <v>380.77</v>
      </c>
      <c r="P149" s="45">
        <f t="shared" si="36"/>
        <v>3.558</v>
      </c>
      <c r="Q149" s="45">
        <f t="shared" si="36"/>
        <v>0.039</v>
      </c>
      <c r="R149" s="45">
        <f t="shared" si="36"/>
        <v>98.06</v>
      </c>
      <c r="S149" s="45">
        <f t="shared" si="36"/>
        <v>5.17</v>
      </c>
      <c r="T149" s="51"/>
      <c r="U149" s="43"/>
      <c r="V149" s="43"/>
      <c r="W149" s="43"/>
    </row>
    <row r="150" spans="1:23" s="3" customFormat="1" ht="11.25" customHeight="1">
      <c r="A150" s="203" t="s">
        <v>29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5"/>
      <c r="T150" s="11"/>
      <c r="U150" s="24"/>
      <c r="V150" s="24"/>
      <c r="W150" s="24"/>
    </row>
    <row r="151" spans="1:23" s="75" customFormat="1" ht="11.25" customHeight="1">
      <c r="A151" s="105">
        <v>461</v>
      </c>
      <c r="B151" s="192" t="s">
        <v>138</v>
      </c>
      <c r="C151" s="193"/>
      <c r="D151" s="74">
        <v>125</v>
      </c>
      <c r="E151" s="76">
        <v>3.75</v>
      </c>
      <c r="F151" s="76">
        <v>3.5</v>
      </c>
      <c r="G151" s="76">
        <v>15</v>
      </c>
      <c r="H151" s="76">
        <f>E151*4+F151*9+G151*4</f>
        <v>106.5</v>
      </c>
      <c r="I151" s="76">
        <v>0.06</v>
      </c>
      <c r="J151" s="76">
        <v>0.12</v>
      </c>
      <c r="K151" s="76">
        <v>1.62</v>
      </c>
      <c r="L151" s="74">
        <v>0</v>
      </c>
      <c r="M151" s="72">
        <v>0</v>
      </c>
      <c r="N151" s="73">
        <v>84</v>
      </c>
      <c r="O151" s="76">
        <v>130.62</v>
      </c>
      <c r="P151" s="76">
        <v>0.63</v>
      </c>
      <c r="Q151" s="77">
        <v>0.006</v>
      </c>
      <c r="R151" s="76">
        <v>13.06</v>
      </c>
      <c r="S151" s="76">
        <v>0.13</v>
      </c>
      <c r="T151" s="11"/>
      <c r="U151" s="24"/>
      <c r="V151" s="24"/>
      <c r="W151" s="24"/>
    </row>
    <row r="152" spans="1:23" s="3" customFormat="1" ht="11.25" customHeight="1">
      <c r="A152" s="95"/>
      <c r="B152" s="191" t="s">
        <v>57</v>
      </c>
      <c r="C152" s="191"/>
      <c r="D152" s="74">
        <v>20</v>
      </c>
      <c r="E152" s="76">
        <v>1.7</v>
      </c>
      <c r="F152" s="72">
        <v>2.26</v>
      </c>
      <c r="G152" s="73">
        <v>13.8</v>
      </c>
      <c r="H152" s="76">
        <f>E152*4+F152*9+G152*4</f>
        <v>82.34</v>
      </c>
      <c r="I152" s="72">
        <v>0.02</v>
      </c>
      <c r="J152" s="72">
        <v>0.01</v>
      </c>
      <c r="K152" s="72">
        <v>0</v>
      </c>
      <c r="L152" s="76">
        <v>0</v>
      </c>
      <c r="M152" s="72">
        <v>0.2</v>
      </c>
      <c r="N152" s="73">
        <v>8.2</v>
      </c>
      <c r="O152" s="73">
        <v>17.4</v>
      </c>
      <c r="P152" s="74">
        <v>0</v>
      </c>
      <c r="Q152" s="74">
        <v>0</v>
      </c>
      <c r="R152" s="73">
        <v>3</v>
      </c>
      <c r="S152" s="76">
        <v>0.2</v>
      </c>
      <c r="T152" s="78"/>
      <c r="U152" s="79"/>
      <c r="V152" s="79"/>
      <c r="W152" s="79"/>
    </row>
    <row r="153" spans="1:23" s="3" customFormat="1" ht="13.5" customHeight="1">
      <c r="A153" s="105">
        <v>348</v>
      </c>
      <c r="B153" s="192" t="s">
        <v>73</v>
      </c>
      <c r="C153" s="193"/>
      <c r="D153" s="74">
        <v>200</v>
      </c>
      <c r="E153" s="76">
        <v>0.22</v>
      </c>
      <c r="F153" s="72"/>
      <c r="G153" s="76">
        <v>19.43</v>
      </c>
      <c r="H153" s="76">
        <f>E153*4+F153*9+G153*4</f>
        <v>78.6</v>
      </c>
      <c r="I153" s="72">
        <v>0.01</v>
      </c>
      <c r="J153" s="72">
        <v>0.02</v>
      </c>
      <c r="K153" s="73">
        <v>25.2</v>
      </c>
      <c r="L153" s="72"/>
      <c r="M153" s="72">
        <v>0.2</v>
      </c>
      <c r="N153" s="73">
        <v>22.5</v>
      </c>
      <c r="O153" s="73">
        <v>7.7</v>
      </c>
      <c r="P153" s="73">
        <v>0.08</v>
      </c>
      <c r="Q153" s="77">
        <v>0.001</v>
      </c>
      <c r="R153" s="74">
        <v>3</v>
      </c>
      <c r="S153" s="76">
        <v>0.65</v>
      </c>
      <c r="T153" s="78"/>
      <c r="U153" s="79"/>
      <c r="V153" s="79"/>
      <c r="W153" s="79"/>
    </row>
    <row r="154" spans="1:23" s="1" customFormat="1" ht="11.25" customHeight="1">
      <c r="A154" s="66" t="s">
        <v>30</v>
      </c>
      <c r="B154" s="67"/>
      <c r="C154" s="67"/>
      <c r="D154" s="130">
        <f>SUM(D151:D153)</f>
        <v>345</v>
      </c>
      <c r="E154" s="134">
        <f aca="true" t="shared" si="37" ref="E154:S154">SUM(E151:E153)</f>
        <v>5.67</v>
      </c>
      <c r="F154" s="134">
        <f t="shared" si="37"/>
        <v>5.76</v>
      </c>
      <c r="G154" s="134">
        <f t="shared" si="37"/>
        <v>48.230000000000004</v>
      </c>
      <c r="H154" s="134">
        <f t="shared" si="37"/>
        <v>267.44</v>
      </c>
      <c r="I154" s="134">
        <f t="shared" si="37"/>
        <v>0.09</v>
      </c>
      <c r="J154" s="134">
        <f t="shared" si="37"/>
        <v>0.15</v>
      </c>
      <c r="K154" s="134">
        <f t="shared" si="37"/>
        <v>26.82</v>
      </c>
      <c r="L154" s="134">
        <f t="shared" si="37"/>
        <v>0</v>
      </c>
      <c r="M154" s="134">
        <f t="shared" si="37"/>
        <v>0.4</v>
      </c>
      <c r="N154" s="134">
        <f t="shared" si="37"/>
        <v>114.7</v>
      </c>
      <c r="O154" s="134">
        <f t="shared" si="37"/>
        <v>155.72</v>
      </c>
      <c r="P154" s="134">
        <f t="shared" si="37"/>
        <v>0.71</v>
      </c>
      <c r="Q154" s="134">
        <f t="shared" si="37"/>
        <v>0.007</v>
      </c>
      <c r="R154" s="134">
        <f t="shared" si="37"/>
        <v>19.060000000000002</v>
      </c>
      <c r="S154" s="134">
        <f t="shared" si="37"/>
        <v>0.98</v>
      </c>
      <c r="T154" s="40"/>
      <c r="U154" s="43"/>
      <c r="V154" s="43"/>
      <c r="W154" s="43"/>
    </row>
    <row r="155" spans="1:23" s="1" customFormat="1" ht="11.25" customHeight="1">
      <c r="A155" s="229" t="s">
        <v>77</v>
      </c>
      <c r="B155" s="230"/>
      <c r="C155" s="230"/>
      <c r="D155" s="231"/>
      <c r="E155" s="81">
        <f>E154/E157</f>
        <v>0.07363636363636364</v>
      </c>
      <c r="F155" s="81">
        <f aca="true" t="shared" si="38" ref="F155:S155">F154/F157</f>
        <v>0.0729113924050633</v>
      </c>
      <c r="G155" s="81">
        <f t="shared" si="38"/>
        <v>0.14397014925373136</v>
      </c>
      <c r="H155" s="81">
        <f t="shared" si="38"/>
        <v>0.11380425531914894</v>
      </c>
      <c r="I155" s="81">
        <f t="shared" si="38"/>
        <v>0.075</v>
      </c>
      <c r="J155" s="81">
        <f t="shared" si="38"/>
        <v>0.10714285714285715</v>
      </c>
      <c r="K155" s="81">
        <f t="shared" si="38"/>
        <v>0.447</v>
      </c>
      <c r="L155" s="81">
        <f t="shared" si="38"/>
        <v>0</v>
      </c>
      <c r="M155" s="81">
        <f t="shared" si="38"/>
        <v>0.04</v>
      </c>
      <c r="N155" s="81">
        <f t="shared" si="38"/>
        <v>0.10427272727272728</v>
      </c>
      <c r="O155" s="81">
        <f t="shared" si="38"/>
        <v>0.14156363636363636</v>
      </c>
      <c r="P155" s="81">
        <f t="shared" si="38"/>
        <v>0.071</v>
      </c>
      <c r="Q155" s="81">
        <f t="shared" si="38"/>
        <v>0.06999999999999999</v>
      </c>
      <c r="R155" s="81">
        <f t="shared" si="38"/>
        <v>0.07624</v>
      </c>
      <c r="S155" s="46">
        <f t="shared" si="38"/>
        <v>0.08166666666666667</v>
      </c>
      <c r="T155" s="51"/>
      <c r="U155" s="43"/>
      <c r="V155" s="43"/>
      <c r="W155" s="43"/>
    </row>
    <row r="156" spans="1:23" s="1" customFormat="1" ht="11.25" customHeight="1">
      <c r="A156" s="219" t="s">
        <v>76</v>
      </c>
      <c r="B156" s="220"/>
      <c r="C156" s="220"/>
      <c r="D156" s="221"/>
      <c r="E156" s="41">
        <f aca="true" t="shared" si="39" ref="E156:S156">SUM(E137,E147,E154)</f>
        <v>46.43666666666667</v>
      </c>
      <c r="F156" s="40">
        <f t="shared" si="39"/>
        <v>62.92733333333332</v>
      </c>
      <c r="G156" s="40">
        <f t="shared" si="39"/>
        <v>215.97400000000005</v>
      </c>
      <c r="H156" s="40">
        <f t="shared" si="39"/>
        <v>1615.9886666666666</v>
      </c>
      <c r="I156" s="41">
        <f t="shared" si="39"/>
        <v>1.3590666666666669</v>
      </c>
      <c r="J156" s="41">
        <f t="shared" si="39"/>
        <v>0.7165333333333334</v>
      </c>
      <c r="K156" s="40">
        <f t="shared" si="39"/>
        <v>95.06066666666666</v>
      </c>
      <c r="L156" s="41">
        <f t="shared" si="39"/>
        <v>0.581</v>
      </c>
      <c r="M156" s="41">
        <f t="shared" si="39"/>
        <v>10.429333333333334</v>
      </c>
      <c r="N156" s="40">
        <f t="shared" si="39"/>
        <v>462.5133333333334</v>
      </c>
      <c r="O156" s="40">
        <f t="shared" si="39"/>
        <v>803.2333333333333</v>
      </c>
      <c r="P156" s="41">
        <f t="shared" si="39"/>
        <v>7.498466666666666</v>
      </c>
      <c r="Q156" s="42">
        <f t="shared" si="39"/>
        <v>0.06983333333333334</v>
      </c>
      <c r="R156" s="41">
        <f t="shared" si="39"/>
        <v>161.84</v>
      </c>
      <c r="S156" s="41">
        <f t="shared" si="39"/>
        <v>12.163333333333334</v>
      </c>
      <c r="T156" s="44"/>
      <c r="U156" s="43"/>
      <c r="V156" s="43"/>
      <c r="W156" s="43"/>
    </row>
    <row r="157" spans="1:23" s="1" customFormat="1" ht="11.25" customHeight="1">
      <c r="A157" s="219" t="s">
        <v>78</v>
      </c>
      <c r="B157" s="220"/>
      <c r="C157" s="220"/>
      <c r="D157" s="221"/>
      <c r="E157" s="76">
        <v>77</v>
      </c>
      <c r="F157" s="73">
        <v>79</v>
      </c>
      <c r="G157" s="73">
        <v>335</v>
      </c>
      <c r="H157" s="73">
        <v>2350</v>
      </c>
      <c r="I157" s="76">
        <v>1.2</v>
      </c>
      <c r="J157" s="76">
        <v>1.4</v>
      </c>
      <c r="K157" s="74">
        <v>60</v>
      </c>
      <c r="L157" s="76">
        <v>0.7</v>
      </c>
      <c r="M157" s="74">
        <v>10</v>
      </c>
      <c r="N157" s="74">
        <v>1100</v>
      </c>
      <c r="O157" s="74">
        <v>1100</v>
      </c>
      <c r="P157" s="74">
        <v>10</v>
      </c>
      <c r="Q157" s="73">
        <v>0.1</v>
      </c>
      <c r="R157" s="74">
        <v>250</v>
      </c>
      <c r="S157" s="76">
        <v>12</v>
      </c>
      <c r="T157" s="78"/>
      <c r="U157" s="79"/>
      <c r="V157" s="79"/>
      <c r="W157" s="79"/>
    </row>
    <row r="158" spans="1:23" s="1" customFormat="1" ht="11.25" customHeight="1">
      <c r="A158" s="229" t="s">
        <v>77</v>
      </c>
      <c r="B158" s="230"/>
      <c r="C158" s="230"/>
      <c r="D158" s="231"/>
      <c r="E158" s="81">
        <f aca="true" t="shared" si="40" ref="E158:S158">E156/E157</f>
        <v>0.6030735930735931</v>
      </c>
      <c r="F158" s="46">
        <f t="shared" si="40"/>
        <v>0.796548523206751</v>
      </c>
      <c r="G158" s="46">
        <f t="shared" si="40"/>
        <v>0.6446985074626868</v>
      </c>
      <c r="H158" s="46">
        <f t="shared" si="40"/>
        <v>0.6876547517730496</v>
      </c>
      <c r="I158" s="46">
        <f t="shared" si="40"/>
        <v>1.1325555555555558</v>
      </c>
      <c r="J158" s="46">
        <f t="shared" si="40"/>
        <v>0.5118095238095238</v>
      </c>
      <c r="K158" s="46">
        <f t="shared" si="40"/>
        <v>1.5843444444444443</v>
      </c>
      <c r="L158" s="47">
        <f t="shared" si="40"/>
        <v>0.83</v>
      </c>
      <c r="M158" s="47">
        <f t="shared" si="40"/>
        <v>1.0429333333333335</v>
      </c>
      <c r="N158" s="46">
        <f t="shared" si="40"/>
        <v>0.4204666666666667</v>
      </c>
      <c r="O158" s="46">
        <f t="shared" si="40"/>
        <v>0.7302121212121212</v>
      </c>
      <c r="P158" s="46">
        <f t="shared" si="40"/>
        <v>0.7498466666666667</v>
      </c>
      <c r="Q158" s="47">
        <f t="shared" si="40"/>
        <v>0.6983333333333334</v>
      </c>
      <c r="R158" s="46">
        <f t="shared" si="40"/>
        <v>0.64736</v>
      </c>
      <c r="S158" s="47">
        <f t="shared" si="40"/>
        <v>1.0136111111111112</v>
      </c>
      <c r="T158" s="54"/>
      <c r="U158" s="55"/>
      <c r="V158" s="55"/>
      <c r="W158" s="55"/>
    </row>
    <row r="159" spans="1:23" s="1" customFormat="1" ht="11.25" customHeight="1">
      <c r="A159" s="59" t="s">
        <v>128</v>
      </c>
      <c r="B159" s="59"/>
      <c r="C159" s="106"/>
      <c r="D159" s="106"/>
      <c r="E159" s="98"/>
      <c r="F159" s="75"/>
      <c r="G159" s="2"/>
      <c r="H159" s="2"/>
      <c r="I159" s="75"/>
      <c r="J159" s="75"/>
      <c r="K159" s="75"/>
      <c r="L159" s="223"/>
      <c r="M159" s="223"/>
      <c r="N159" s="223"/>
      <c r="O159" s="223"/>
      <c r="P159" s="223"/>
      <c r="Q159" s="223"/>
      <c r="R159" s="223"/>
      <c r="S159" s="223"/>
      <c r="T159" s="12"/>
      <c r="U159" s="19"/>
      <c r="V159" s="19"/>
      <c r="W159" s="19"/>
    </row>
    <row r="160" spans="1:23" s="1" customFormat="1" ht="11.25" customHeight="1">
      <c r="A160" s="59" t="s">
        <v>172</v>
      </c>
      <c r="B160" s="59"/>
      <c r="C160" s="166"/>
      <c r="D160" s="166"/>
      <c r="E160" s="98"/>
      <c r="F160" s="75"/>
      <c r="G160" s="2"/>
      <c r="H160" s="2"/>
      <c r="I160" s="75"/>
      <c r="J160" s="75"/>
      <c r="K160" s="75"/>
      <c r="L160" s="162"/>
      <c r="M160" s="162"/>
      <c r="N160" s="162"/>
      <c r="O160" s="162"/>
      <c r="P160" s="162"/>
      <c r="Q160" s="162"/>
      <c r="R160" s="162"/>
      <c r="S160" s="162"/>
      <c r="T160" s="12"/>
      <c r="U160" s="19"/>
      <c r="V160" s="19"/>
      <c r="W160" s="19"/>
    </row>
    <row r="161" spans="1:23" s="1" customFormat="1" ht="11.25" customHeight="1">
      <c r="A161" s="59"/>
      <c r="B161" s="59"/>
      <c r="C161" s="106"/>
      <c r="D161" s="106"/>
      <c r="E161" s="98"/>
      <c r="F161" s="75"/>
      <c r="G161" s="2"/>
      <c r="H161" s="2"/>
      <c r="I161" s="75"/>
      <c r="J161" s="75"/>
      <c r="K161" s="75"/>
      <c r="L161" s="107"/>
      <c r="M161" s="107"/>
      <c r="N161" s="107"/>
      <c r="O161" s="107"/>
      <c r="P161" s="107"/>
      <c r="Q161" s="107"/>
      <c r="R161" s="107"/>
      <c r="S161" s="162" t="s">
        <v>89</v>
      </c>
      <c r="T161" s="12"/>
      <c r="U161" s="19"/>
      <c r="V161" s="19"/>
      <c r="W161" s="19"/>
    </row>
    <row r="162" spans="1:23" s="1" customFormat="1" ht="11.25" customHeight="1">
      <c r="A162" s="236" t="s">
        <v>38</v>
      </c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13"/>
      <c r="U162" s="25"/>
      <c r="V162" s="25"/>
      <c r="W162" s="25"/>
    </row>
    <row r="163" spans="1:23" s="1" customFormat="1" ht="11.25" customHeight="1">
      <c r="A163" s="63" t="s">
        <v>66</v>
      </c>
      <c r="B163" s="59"/>
      <c r="C163" s="59"/>
      <c r="D163" s="2"/>
      <c r="E163" s="36"/>
      <c r="F163" s="224" t="s">
        <v>39</v>
      </c>
      <c r="G163" s="224"/>
      <c r="H163" s="224"/>
      <c r="I163" s="75"/>
      <c r="J163" s="75"/>
      <c r="K163" s="222" t="s">
        <v>1</v>
      </c>
      <c r="L163" s="222"/>
      <c r="M163" s="217" t="s">
        <v>86</v>
      </c>
      <c r="N163" s="217"/>
      <c r="O163" s="217"/>
      <c r="P163" s="217"/>
      <c r="Q163" s="75"/>
      <c r="R163" s="75"/>
      <c r="S163" s="75"/>
      <c r="T163" s="14"/>
      <c r="U163" s="20"/>
      <c r="V163" s="20"/>
      <c r="W163" s="20"/>
    </row>
    <row r="164" spans="1:23" s="1" customFormat="1" ht="11.25" customHeight="1">
      <c r="A164" s="59"/>
      <c r="B164" s="59"/>
      <c r="C164" s="59"/>
      <c r="D164" s="227" t="s">
        <v>2</v>
      </c>
      <c r="E164" s="227"/>
      <c r="F164" s="7">
        <v>1</v>
      </c>
      <c r="G164" s="75"/>
      <c r="H164" s="2"/>
      <c r="I164" s="2"/>
      <c r="J164" s="2"/>
      <c r="K164" s="227" t="s">
        <v>3</v>
      </c>
      <c r="L164" s="227"/>
      <c r="M164" s="228" t="s">
        <v>68</v>
      </c>
      <c r="N164" s="228"/>
      <c r="O164" s="228"/>
      <c r="P164" s="228"/>
      <c r="Q164" s="228"/>
      <c r="R164" s="228"/>
      <c r="S164" s="228"/>
      <c r="T164" s="15"/>
      <c r="U164" s="21"/>
      <c r="V164" s="21"/>
      <c r="W164" s="21"/>
    </row>
    <row r="165" spans="1:23" s="1" customFormat="1" ht="21.75" customHeight="1">
      <c r="A165" s="209" t="s">
        <v>4</v>
      </c>
      <c r="B165" s="211" t="s">
        <v>5</v>
      </c>
      <c r="C165" s="212"/>
      <c r="D165" s="209" t="s">
        <v>6</v>
      </c>
      <c r="E165" s="206" t="s">
        <v>7</v>
      </c>
      <c r="F165" s="207"/>
      <c r="G165" s="208"/>
      <c r="H165" s="209" t="s">
        <v>8</v>
      </c>
      <c r="I165" s="206" t="s">
        <v>9</v>
      </c>
      <c r="J165" s="207"/>
      <c r="K165" s="207"/>
      <c r="L165" s="207"/>
      <c r="M165" s="208"/>
      <c r="N165" s="206" t="s">
        <v>10</v>
      </c>
      <c r="O165" s="207"/>
      <c r="P165" s="207"/>
      <c r="Q165" s="207"/>
      <c r="R165" s="207"/>
      <c r="S165" s="208"/>
      <c r="T165" s="9"/>
      <c r="U165" s="22"/>
      <c r="V165" s="22"/>
      <c r="W165" s="22"/>
    </row>
    <row r="166" spans="1:23" s="1" customFormat="1" ht="21" customHeight="1">
      <c r="A166" s="210"/>
      <c r="B166" s="213"/>
      <c r="C166" s="214"/>
      <c r="D166" s="210"/>
      <c r="E166" s="96" t="s">
        <v>11</v>
      </c>
      <c r="F166" s="108" t="s">
        <v>12</v>
      </c>
      <c r="G166" s="108" t="s">
        <v>13</v>
      </c>
      <c r="H166" s="210"/>
      <c r="I166" s="108" t="s">
        <v>14</v>
      </c>
      <c r="J166" s="108" t="s">
        <v>69</v>
      </c>
      <c r="K166" s="108" t="s">
        <v>15</v>
      </c>
      <c r="L166" s="108" t="s">
        <v>16</v>
      </c>
      <c r="M166" s="108" t="s">
        <v>17</v>
      </c>
      <c r="N166" s="108" t="s">
        <v>18</v>
      </c>
      <c r="O166" s="108" t="s">
        <v>19</v>
      </c>
      <c r="P166" s="108" t="s">
        <v>70</v>
      </c>
      <c r="Q166" s="108" t="s">
        <v>71</v>
      </c>
      <c r="R166" s="108" t="s">
        <v>20</v>
      </c>
      <c r="S166" s="108" t="s">
        <v>21</v>
      </c>
      <c r="T166" s="9"/>
      <c r="U166" s="22"/>
      <c r="V166" s="22"/>
      <c r="W166" s="22"/>
    </row>
    <row r="167" spans="1:23" s="1" customFormat="1" ht="11.25" customHeight="1">
      <c r="A167" s="105">
        <v>1</v>
      </c>
      <c r="B167" s="198">
        <v>2</v>
      </c>
      <c r="C167" s="199"/>
      <c r="D167" s="39">
        <v>3</v>
      </c>
      <c r="E167" s="97">
        <v>4</v>
      </c>
      <c r="F167" s="39">
        <v>5</v>
      </c>
      <c r="G167" s="39">
        <v>6</v>
      </c>
      <c r="H167" s="39">
        <v>7</v>
      </c>
      <c r="I167" s="39">
        <v>8</v>
      </c>
      <c r="J167" s="39">
        <v>9</v>
      </c>
      <c r="K167" s="39">
        <v>10</v>
      </c>
      <c r="L167" s="39">
        <v>11</v>
      </c>
      <c r="M167" s="39">
        <v>12</v>
      </c>
      <c r="N167" s="39">
        <v>13</v>
      </c>
      <c r="O167" s="39">
        <v>14</v>
      </c>
      <c r="P167" s="39">
        <v>15</v>
      </c>
      <c r="Q167" s="39">
        <v>16</v>
      </c>
      <c r="R167" s="39">
        <v>17</v>
      </c>
      <c r="S167" s="39">
        <v>18</v>
      </c>
      <c r="T167" s="10"/>
      <c r="U167" s="23"/>
      <c r="V167" s="23"/>
      <c r="W167" s="23"/>
    </row>
    <row r="168" spans="1:23" s="1" customFormat="1" ht="11.25" customHeight="1">
      <c r="A168" s="203" t="s">
        <v>25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5"/>
      <c r="T168" s="11"/>
      <c r="U168" s="24"/>
      <c r="V168" s="24"/>
      <c r="W168" s="24"/>
    </row>
    <row r="169" spans="1:23" s="1" customFormat="1" ht="11.25" customHeight="1">
      <c r="A169" s="153" t="s">
        <v>166</v>
      </c>
      <c r="B169" s="257" t="s">
        <v>117</v>
      </c>
      <c r="C169" s="258"/>
      <c r="D169" s="158">
        <v>20</v>
      </c>
      <c r="E169" s="150">
        <v>4.6</v>
      </c>
      <c r="F169" s="159">
        <v>0.24</v>
      </c>
      <c r="G169" s="150">
        <v>10.66</v>
      </c>
      <c r="H169" s="150">
        <f aca="true" t="shared" si="41" ref="H169:H175">E169*4+F169*9+G169*4</f>
        <v>63.2</v>
      </c>
      <c r="I169" s="159">
        <v>0.16</v>
      </c>
      <c r="J169" s="159">
        <v>0.04</v>
      </c>
      <c r="K169" s="158">
        <v>0</v>
      </c>
      <c r="L169" s="150">
        <v>0.002</v>
      </c>
      <c r="M169" s="159">
        <v>1.82</v>
      </c>
      <c r="N169" s="157">
        <v>23</v>
      </c>
      <c r="O169" s="157">
        <v>65.8</v>
      </c>
      <c r="P169" s="150">
        <v>0.64</v>
      </c>
      <c r="Q169" s="150">
        <v>0.00102</v>
      </c>
      <c r="R169" s="157">
        <v>21.4</v>
      </c>
      <c r="S169" s="150">
        <v>0.004</v>
      </c>
      <c r="T169" s="11"/>
      <c r="U169" s="24"/>
      <c r="V169" s="24"/>
      <c r="W169" s="24"/>
    </row>
    <row r="170" spans="1:23" s="1" customFormat="1" ht="24" customHeight="1">
      <c r="A170" s="105">
        <v>71</v>
      </c>
      <c r="B170" s="192" t="s">
        <v>155</v>
      </c>
      <c r="C170" s="193"/>
      <c r="D170" s="72">
        <v>40</v>
      </c>
      <c r="E170" s="76">
        <f>0.33*D170/30</f>
        <v>0.44000000000000006</v>
      </c>
      <c r="F170" s="76">
        <v>0.08</v>
      </c>
      <c r="G170" s="76">
        <f>3.8*D170/100</f>
        <v>1.52</v>
      </c>
      <c r="H170" s="76">
        <f t="shared" si="41"/>
        <v>8.56</v>
      </c>
      <c r="I170" s="77">
        <v>0.027</v>
      </c>
      <c r="J170" s="77">
        <v>0.032</v>
      </c>
      <c r="K170" s="76">
        <v>9.733</v>
      </c>
      <c r="L170" s="76">
        <v>0.36</v>
      </c>
      <c r="M170" s="72">
        <v>1.88</v>
      </c>
      <c r="N170" s="73">
        <v>24.4</v>
      </c>
      <c r="O170" s="73">
        <v>30.36</v>
      </c>
      <c r="P170" s="76">
        <v>0.28</v>
      </c>
      <c r="Q170" s="77">
        <v>0.005</v>
      </c>
      <c r="R170" s="73">
        <v>10.2</v>
      </c>
      <c r="S170" s="76">
        <v>0.4</v>
      </c>
      <c r="T170" s="11"/>
      <c r="U170" s="24"/>
      <c r="V170" s="24"/>
      <c r="W170" s="24"/>
    </row>
    <row r="171" spans="1:23" s="3" customFormat="1" ht="11.25" customHeight="1">
      <c r="A171" s="113">
        <v>15</v>
      </c>
      <c r="B171" s="192" t="s">
        <v>111</v>
      </c>
      <c r="C171" s="193"/>
      <c r="D171" s="74">
        <v>20</v>
      </c>
      <c r="E171" s="76">
        <f>2.32*D171/10</f>
        <v>4.64</v>
      </c>
      <c r="F171" s="76">
        <f>3.4*D171/10</f>
        <v>6.8</v>
      </c>
      <c r="G171" s="76">
        <f>0.01*D171/10</f>
        <v>0.02</v>
      </c>
      <c r="H171" s="76">
        <f t="shared" si="41"/>
        <v>79.83999999999999</v>
      </c>
      <c r="I171" s="76">
        <f>0.004*D171/10</f>
        <v>0.008</v>
      </c>
      <c r="J171" s="76">
        <f>0.03*D171/10</f>
        <v>0.06</v>
      </c>
      <c r="K171" s="76">
        <f>0.07*D171/10</f>
        <v>0.14</v>
      </c>
      <c r="L171" s="77">
        <f>0.023*D171/10</f>
        <v>0.046</v>
      </c>
      <c r="M171" s="76">
        <f>0.05*D171/10</f>
        <v>0.1</v>
      </c>
      <c r="N171" s="76">
        <f>88*D171/10</f>
        <v>176</v>
      </c>
      <c r="O171" s="76">
        <f>50*D171/10</f>
        <v>100</v>
      </c>
      <c r="P171" s="76">
        <f>0.4*D171/10</f>
        <v>0.8</v>
      </c>
      <c r="Q171" s="77">
        <f>0.02*D171/10</f>
        <v>0.04</v>
      </c>
      <c r="R171" s="76">
        <f>3.5*D171/10</f>
        <v>7</v>
      </c>
      <c r="S171" s="76">
        <f>0.13*D171/10</f>
        <v>0.26</v>
      </c>
      <c r="T171" s="78"/>
      <c r="U171" s="79"/>
      <c r="V171" s="79"/>
      <c r="W171" s="79"/>
    </row>
    <row r="172" spans="1:23" s="3" customFormat="1" ht="13.5" customHeight="1">
      <c r="A172" s="105">
        <v>210</v>
      </c>
      <c r="B172" s="192" t="s">
        <v>50</v>
      </c>
      <c r="C172" s="193"/>
      <c r="D172" s="74">
        <v>200</v>
      </c>
      <c r="E172" s="76">
        <v>16.29</v>
      </c>
      <c r="F172" s="76">
        <v>18.99</v>
      </c>
      <c r="G172" s="76">
        <v>5.04</v>
      </c>
      <c r="H172" s="76">
        <f t="shared" si="41"/>
        <v>256.23</v>
      </c>
      <c r="I172" s="76">
        <v>0.117</v>
      </c>
      <c r="J172" s="76">
        <v>0.27</v>
      </c>
      <c r="K172" s="76">
        <v>0.324</v>
      </c>
      <c r="L172" s="76">
        <v>0.036</v>
      </c>
      <c r="M172" s="72">
        <v>1.94</v>
      </c>
      <c r="N172" s="76">
        <v>131.38</v>
      </c>
      <c r="O172" s="76">
        <v>248.5</v>
      </c>
      <c r="P172" s="76">
        <v>1.35</v>
      </c>
      <c r="Q172" s="76">
        <v>0.03</v>
      </c>
      <c r="R172" s="76">
        <v>21.55</v>
      </c>
      <c r="S172" s="76">
        <v>1.51</v>
      </c>
      <c r="T172" s="78"/>
      <c r="U172" s="79"/>
      <c r="V172" s="79"/>
      <c r="W172" s="79"/>
    </row>
    <row r="173" spans="1:23" s="75" customFormat="1" ht="11.25">
      <c r="A173" s="113">
        <v>338</v>
      </c>
      <c r="B173" s="191" t="s">
        <v>167</v>
      </c>
      <c r="C173" s="191"/>
      <c r="D173" s="74">
        <v>100</v>
      </c>
      <c r="E173" s="76">
        <v>1.5</v>
      </c>
      <c r="F173" s="76">
        <v>0.5</v>
      </c>
      <c r="G173" s="76">
        <v>21</v>
      </c>
      <c r="H173" s="73">
        <f t="shared" si="41"/>
        <v>94.5</v>
      </c>
      <c r="I173" s="76">
        <v>0.04</v>
      </c>
      <c r="J173" s="76">
        <v>0.05</v>
      </c>
      <c r="K173" s="74">
        <v>10</v>
      </c>
      <c r="L173" s="77">
        <v>0.02</v>
      </c>
      <c r="M173" s="76">
        <v>0.4</v>
      </c>
      <c r="N173" s="76">
        <v>8</v>
      </c>
      <c r="O173" s="76">
        <v>28</v>
      </c>
      <c r="P173" s="76">
        <v>0.15</v>
      </c>
      <c r="Q173" s="74"/>
      <c r="R173" s="76">
        <v>42</v>
      </c>
      <c r="S173" s="76"/>
      <c r="T173" s="78"/>
      <c r="U173" s="79"/>
      <c r="V173" s="79"/>
      <c r="W173" s="79"/>
    </row>
    <row r="174" spans="1:23" s="3" customFormat="1" ht="11.25" customHeight="1">
      <c r="A174" s="105">
        <v>376</v>
      </c>
      <c r="B174" s="191" t="s">
        <v>80</v>
      </c>
      <c r="C174" s="191"/>
      <c r="D174" s="74">
        <v>200</v>
      </c>
      <c r="E174" s="76">
        <v>0.2</v>
      </c>
      <c r="F174" s="76">
        <v>0.05</v>
      </c>
      <c r="G174" s="76">
        <v>15.01</v>
      </c>
      <c r="H174" s="76">
        <f t="shared" si="41"/>
        <v>61.29</v>
      </c>
      <c r="I174" s="74">
        <v>0</v>
      </c>
      <c r="J174" s="76">
        <v>0.01</v>
      </c>
      <c r="K174" s="76">
        <v>9</v>
      </c>
      <c r="L174" s="80">
        <v>0.0001</v>
      </c>
      <c r="M174" s="77">
        <v>0.045</v>
      </c>
      <c r="N174" s="76">
        <v>5.25</v>
      </c>
      <c r="O174" s="76">
        <v>8.24</v>
      </c>
      <c r="P174" s="77">
        <v>0.008</v>
      </c>
      <c r="Q174" s="74">
        <v>0</v>
      </c>
      <c r="R174" s="73">
        <v>4.4</v>
      </c>
      <c r="S174" s="76">
        <v>0.87</v>
      </c>
      <c r="T174" s="78"/>
      <c r="U174" s="79"/>
      <c r="V174" s="79"/>
      <c r="W174" s="79"/>
    </row>
    <row r="175" spans="1:23" s="3" customFormat="1" ht="12.75" customHeight="1">
      <c r="A175" s="82" t="s">
        <v>90</v>
      </c>
      <c r="B175" s="192" t="s">
        <v>62</v>
      </c>
      <c r="C175" s="193"/>
      <c r="D175" s="74">
        <v>40</v>
      </c>
      <c r="E175" s="76">
        <f>1.52*D175/30</f>
        <v>2.0266666666666664</v>
      </c>
      <c r="F175" s="77">
        <f>0.16*D175/30</f>
        <v>0.21333333333333335</v>
      </c>
      <c r="G175" s="77">
        <f>9.84*D175/30</f>
        <v>13.120000000000001</v>
      </c>
      <c r="H175" s="77">
        <f t="shared" si="41"/>
        <v>62.50666666666667</v>
      </c>
      <c r="I175" s="77">
        <f>0.02*D175/30</f>
        <v>0.02666666666666667</v>
      </c>
      <c r="J175" s="77">
        <f>0.01*D175/30</f>
        <v>0.013333333333333334</v>
      </c>
      <c r="K175" s="77">
        <f>0.44*D175/30</f>
        <v>0.5866666666666667</v>
      </c>
      <c r="L175" s="77">
        <v>0</v>
      </c>
      <c r="M175" s="77">
        <f>0.7*D175/30</f>
        <v>0.9333333333333333</v>
      </c>
      <c r="N175" s="77">
        <f>4*D175/30</f>
        <v>5.333333333333333</v>
      </c>
      <c r="O175" s="77">
        <f>13*D175/30</f>
        <v>17.333333333333332</v>
      </c>
      <c r="P175" s="77">
        <f>0.008*D175/30</f>
        <v>0.010666666666666666</v>
      </c>
      <c r="Q175" s="77">
        <f>0.001*D175/30</f>
        <v>0.0013333333333333333</v>
      </c>
      <c r="R175" s="77">
        <v>0</v>
      </c>
      <c r="S175" s="77">
        <f>0.22*D175/30</f>
        <v>0.29333333333333333</v>
      </c>
      <c r="T175" s="78"/>
      <c r="U175" s="79"/>
      <c r="V175" s="79"/>
      <c r="W175" s="79"/>
    </row>
    <row r="176" spans="1:23" s="3" customFormat="1" ht="11.25" customHeight="1">
      <c r="A176" s="66" t="s">
        <v>26</v>
      </c>
      <c r="B176" s="67"/>
      <c r="C176" s="67"/>
      <c r="D176" s="130">
        <f>SUM(D170:D175)</f>
        <v>600</v>
      </c>
      <c r="E176" s="41">
        <f aca="true" t="shared" si="42" ref="E176:S176">SUM(E170:E175)</f>
        <v>25.096666666666664</v>
      </c>
      <c r="F176" s="40">
        <f t="shared" si="42"/>
        <v>26.633333333333333</v>
      </c>
      <c r="G176" s="40">
        <f t="shared" si="42"/>
        <v>55.709999999999994</v>
      </c>
      <c r="H176" s="40">
        <f t="shared" si="42"/>
        <v>562.9266666666667</v>
      </c>
      <c r="I176" s="40">
        <f t="shared" si="42"/>
        <v>0.2186666666666667</v>
      </c>
      <c r="J176" s="40">
        <f t="shared" si="42"/>
        <v>0.4353333333333333</v>
      </c>
      <c r="K176" s="40">
        <f t="shared" si="42"/>
        <v>29.78366666666667</v>
      </c>
      <c r="L176" s="40">
        <f t="shared" si="42"/>
        <v>0.46209999999999996</v>
      </c>
      <c r="M176" s="42">
        <f t="shared" si="42"/>
        <v>5.298333333333334</v>
      </c>
      <c r="N176" s="40">
        <f t="shared" si="42"/>
        <v>350.3633333333333</v>
      </c>
      <c r="O176" s="52">
        <f t="shared" si="42"/>
        <v>432.43333333333334</v>
      </c>
      <c r="P176" s="41">
        <f t="shared" si="42"/>
        <v>2.598666666666667</v>
      </c>
      <c r="Q176" s="42">
        <f t="shared" si="42"/>
        <v>0.07633333333333334</v>
      </c>
      <c r="R176" s="40">
        <f t="shared" si="42"/>
        <v>85.15</v>
      </c>
      <c r="S176" s="41">
        <f t="shared" si="42"/>
        <v>3.3333333333333335</v>
      </c>
      <c r="T176" s="40"/>
      <c r="U176" s="43"/>
      <c r="V176" s="43"/>
      <c r="W176" s="43"/>
    </row>
    <row r="177" spans="1:23" s="3" customFormat="1" ht="11.25" customHeight="1">
      <c r="A177" s="229" t="s">
        <v>77</v>
      </c>
      <c r="B177" s="230"/>
      <c r="C177" s="230"/>
      <c r="D177" s="231"/>
      <c r="E177" s="102">
        <f aca="true" t="shared" si="43" ref="E177:S177">E176/E195</f>
        <v>0.3259307359307359</v>
      </c>
      <c r="F177" s="81">
        <f t="shared" si="43"/>
        <v>0.3371308016877637</v>
      </c>
      <c r="G177" s="81">
        <f t="shared" si="43"/>
        <v>0.16629850746268654</v>
      </c>
      <c r="H177" s="81">
        <f t="shared" si="43"/>
        <v>0.23954326241134755</v>
      </c>
      <c r="I177" s="81">
        <f t="shared" si="43"/>
        <v>0.18222222222222226</v>
      </c>
      <c r="J177" s="81">
        <f t="shared" si="43"/>
        <v>0.3109523809523809</v>
      </c>
      <c r="K177" s="81">
        <f t="shared" si="43"/>
        <v>0.49639444444444447</v>
      </c>
      <c r="L177" s="81">
        <f t="shared" si="43"/>
        <v>0.6601428571428571</v>
      </c>
      <c r="M177" s="81">
        <f t="shared" si="43"/>
        <v>0.5298333333333334</v>
      </c>
      <c r="N177" s="81">
        <f t="shared" si="43"/>
        <v>0.3185121212121212</v>
      </c>
      <c r="O177" s="81">
        <f t="shared" si="43"/>
        <v>0.39312121212121215</v>
      </c>
      <c r="P177" s="81">
        <f t="shared" si="43"/>
        <v>0.2598666666666667</v>
      </c>
      <c r="Q177" s="81">
        <f t="shared" si="43"/>
        <v>0.7633333333333333</v>
      </c>
      <c r="R177" s="81">
        <f t="shared" si="43"/>
        <v>0.3406</v>
      </c>
      <c r="S177" s="46">
        <f t="shared" si="43"/>
        <v>0.2777777777777778</v>
      </c>
      <c r="T177" s="51"/>
      <c r="U177" s="43"/>
      <c r="V177" s="43"/>
      <c r="W177" s="43"/>
    </row>
    <row r="178" spans="1:23" s="75" customFormat="1" ht="11.25" customHeight="1">
      <c r="A178" s="89" t="s">
        <v>110</v>
      </c>
      <c r="B178" s="90"/>
      <c r="C178" s="90"/>
      <c r="D178" s="120"/>
      <c r="E178" s="41">
        <f>E169+E171+E172+E173+E174+E175</f>
        <v>29.256666666666664</v>
      </c>
      <c r="F178" s="41">
        <f aca="true" t="shared" si="44" ref="F178:S178">F169+F171+F172+F173+F174+F175</f>
        <v>26.793333333333333</v>
      </c>
      <c r="G178" s="41">
        <f t="shared" si="44"/>
        <v>64.85</v>
      </c>
      <c r="H178" s="41">
        <f t="shared" si="44"/>
        <v>617.5666666666666</v>
      </c>
      <c r="I178" s="41">
        <f t="shared" si="44"/>
        <v>0.3516666666666667</v>
      </c>
      <c r="J178" s="41">
        <f t="shared" si="44"/>
        <v>0.4433333333333333</v>
      </c>
      <c r="K178" s="41">
        <f t="shared" si="44"/>
        <v>20.050666666666665</v>
      </c>
      <c r="L178" s="41">
        <f t="shared" si="44"/>
        <v>0.1041</v>
      </c>
      <c r="M178" s="41">
        <f t="shared" si="44"/>
        <v>5.238333333333334</v>
      </c>
      <c r="N178" s="41">
        <f t="shared" si="44"/>
        <v>348.9633333333333</v>
      </c>
      <c r="O178" s="41">
        <f t="shared" si="44"/>
        <v>467.87333333333333</v>
      </c>
      <c r="P178" s="41">
        <f t="shared" si="44"/>
        <v>2.958666666666667</v>
      </c>
      <c r="Q178" s="41">
        <f t="shared" si="44"/>
        <v>0.07235333333333334</v>
      </c>
      <c r="R178" s="41">
        <f t="shared" si="44"/>
        <v>96.35000000000001</v>
      </c>
      <c r="S178" s="41">
        <f t="shared" si="44"/>
        <v>2.9373333333333336</v>
      </c>
      <c r="T178" s="51"/>
      <c r="U178" s="43"/>
      <c r="V178" s="43"/>
      <c r="W178" s="43"/>
    </row>
    <row r="179" spans="1:23" s="3" customFormat="1" ht="11.25" customHeight="1">
      <c r="A179" s="203" t="s">
        <v>27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5"/>
      <c r="T179" s="11"/>
      <c r="U179" s="24"/>
      <c r="V179" s="24"/>
      <c r="W179" s="24"/>
    </row>
    <row r="180" spans="1:23" s="3" customFormat="1" ht="15" customHeight="1">
      <c r="A180" s="82">
        <v>52</v>
      </c>
      <c r="B180" s="192" t="s">
        <v>63</v>
      </c>
      <c r="C180" s="193"/>
      <c r="D180" s="74">
        <v>60</v>
      </c>
      <c r="E180" s="76">
        <v>0.86</v>
      </c>
      <c r="F180" s="76">
        <v>3.05</v>
      </c>
      <c r="G180" s="76">
        <v>5.13</v>
      </c>
      <c r="H180" s="76">
        <f aca="true" t="shared" si="45" ref="H180:H186">E180*4+F180*9+G180*4</f>
        <v>51.41</v>
      </c>
      <c r="I180" s="76">
        <v>0.01</v>
      </c>
      <c r="J180" s="76">
        <v>0.02</v>
      </c>
      <c r="K180" s="73">
        <v>5.7</v>
      </c>
      <c r="L180" s="76">
        <v>0.01</v>
      </c>
      <c r="M180" s="76">
        <v>0.1</v>
      </c>
      <c r="N180" s="76">
        <v>26.61</v>
      </c>
      <c r="O180" s="76">
        <v>25.64</v>
      </c>
      <c r="P180" s="76">
        <v>0.43</v>
      </c>
      <c r="Q180" s="77">
        <v>0.01</v>
      </c>
      <c r="R180" s="73">
        <v>12.87</v>
      </c>
      <c r="S180" s="76">
        <v>0.84</v>
      </c>
      <c r="T180" s="78"/>
      <c r="U180" s="79"/>
      <c r="V180" s="79"/>
      <c r="W180" s="79"/>
    </row>
    <row r="181" spans="1:23" s="75" customFormat="1" ht="18" customHeight="1">
      <c r="A181" s="105">
        <v>106</v>
      </c>
      <c r="B181" s="233" t="s">
        <v>125</v>
      </c>
      <c r="C181" s="234"/>
      <c r="D181" s="72" t="s">
        <v>119</v>
      </c>
      <c r="E181" s="76">
        <v>12.6</v>
      </c>
      <c r="F181" s="76">
        <v>13.3</v>
      </c>
      <c r="G181" s="76">
        <v>27.9</v>
      </c>
      <c r="H181" s="76">
        <f t="shared" si="45"/>
        <v>281.7</v>
      </c>
      <c r="I181" s="76">
        <v>0.19</v>
      </c>
      <c r="J181" s="76">
        <v>0.13</v>
      </c>
      <c r="K181" s="76">
        <v>0.36</v>
      </c>
      <c r="L181" s="76">
        <v>0.024</v>
      </c>
      <c r="M181" s="76">
        <v>0.059</v>
      </c>
      <c r="N181" s="76">
        <v>34.48</v>
      </c>
      <c r="O181" s="76">
        <v>134.1</v>
      </c>
      <c r="P181" s="76">
        <v>1.52</v>
      </c>
      <c r="Q181" s="76">
        <v>0.03</v>
      </c>
      <c r="R181" s="76">
        <v>20.32</v>
      </c>
      <c r="S181" s="76">
        <v>1.57</v>
      </c>
      <c r="T181" s="78"/>
      <c r="U181" s="79"/>
      <c r="V181" s="79"/>
      <c r="W181" s="79"/>
    </row>
    <row r="182" spans="1:23" s="3" customFormat="1" ht="12.75" customHeight="1">
      <c r="A182" s="105">
        <v>295</v>
      </c>
      <c r="B182" s="191" t="s">
        <v>120</v>
      </c>
      <c r="C182" s="191"/>
      <c r="D182" s="72">
        <v>90</v>
      </c>
      <c r="E182" s="76">
        <f>15.24*D182/100</f>
        <v>13.716</v>
      </c>
      <c r="F182" s="73">
        <f>5.8*D182/100</f>
        <v>5.22</v>
      </c>
      <c r="G182" s="73">
        <f>10.16*D182/100</f>
        <v>9.144</v>
      </c>
      <c r="H182" s="76">
        <f t="shared" si="45"/>
        <v>138.42</v>
      </c>
      <c r="I182" s="72">
        <f>0.09*D182/100</f>
        <v>0.081</v>
      </c>
      <c r="J182" s="76">
        <f>0.08*D182/100</f>
        <v>0.07200000000000001</v>
      </c>
      <c r="K182" s="76">
        <f>0.24*D182/100</f>
        <v>0.21599999999999997</v>
      </c>
      <c r="L182" s="72">
        <f>0.001*D182/100</f>
        <v>0.0009</v>
      </c>
      <c r="M182" s="72">
        <f>0.074*D182/100</f>
        <v>0.06659999999999999</v>
      </c>
      <c r="N182" s="73">
        <f>14.03*D182/100</f>
        <v>12.627</v>
      </c>
      <c r="O182" s="73">
        <f>93.98*D182/100</f>
        <v>84.58200000000001</v>
      </c>
      <c r="P182" s="76">
        <f>1.17*D182/100</f>
        <v>1.053</v>
      </c>
      <c r="Q182" s="77">
        <f>0.04*D182/100</f>
        <v>0.036000000000000004</v>
      </c>
      <c r="R182" s="73">
        <f>16.24*D182/100</f>
        <v>14.616</v>
      </c>
      <c r="S182" s="76">
        <f>D182*1.89/100</f>
        <v>1.7009999999999998</v>
      </c>
      <c r="T182" s="78"/>
      <c r="U182" s="79"/>
      <c r="V182" s="79"/>
      <c r="W182" s="79"/>
    </row>
    <row r="183" spans="1:23" s="3" customFormat="1" ht="15.75" customHeight="1">
      <c r="A183" s="105">
        <v>139</v>
      </c>
      <c r="B183" s="192" t="s">
        <v>95</v>
      </c>
      <c r="C183" s="193"/>
      <c r="D183" s="74">
        <v>150</v>
      </c>
      <c r="E183" s="76">
        <f>2.77*D183/150</f>
        <v>2.77</v>
      </c>
      <c r="F183" s="76">
        <f>4.84*D183/150</f>
        <v>4.84</v>
      </c>
      <c r="G183" s="76">
        <f>10.78*D183/150</f>
        <v>10.78</v>
      </c>
      <c r="H183" s="76">
        <f t="shared" si="45"/>
        <v>97.75999999999999</v>
      </c>
      <c r="I183" s="76">
        <f>0.77*D183/180</f>
        <v>0.6416666666666667</v>
      </c>
      <c r="J183" s="76">
        <f>0.16*D183/180</f>
        <v>0.13333333333333333</v>
      </c>
      <c r="K183" s="72">
        <v>0.16</v>
      </c>
      <c r="L183" s="72">
        <f>0.03*D183/180</f>
        <v>0.025</v>
      </c>
      <c r="M183" s="77">
        <v>0.01</v>
      </c>
      <c r="N183" s="76">
        <f>73.05*D183/150</f>
        <v>73.05</v>
      </c>
      <c r="O183" s="76">
        <f>54*D183/150</f>
        <v>54</v>
      </c>
      <c r="P183" s="73">
        <v>3.5</v>
      </c>
      <c r="Q183" s="77">
        <v>0.017</v>
      </c>
      <c r="R183" s="76">
        <f>27.75*D183/150</f>
        <v>27.75</v>
      </c>
      <c r="S183" s="76">
        <f>1.09*D183/150</f>
        <v>1.09</v>
      </c>
      <c r="T183" s="78"/>
      <c r="U183" s="79"/>
      <c r="V183" s="79"/>
      <c r="W183" s="79"/>
    </row>
    <row r="184" spans="1:23" s="3" customFormat="1" ht="10.5" customHeight="1">
      <c r="A184" s="121">
        <v>389</v>
      </c>
      <c r="B184" s="192" t="s">
        <v>129</v>
      </c>
      <c r="C184" s="193"/>
      <c r="D184" s="74">
        <v>200</v>
      </c>
      <c r="E184" s="76">
        <v>1</v>
      </c>
      <c r="F184" s="76">
        <v>0.2</v>
      </c>
      <c r="G184" s="76">
        <v>20.2</v>
      </c>
      <c r="H184" s="76">
        <f>E184*4+F184*9+G184*4</f>
        <v>86.6</v>
      </c>
      <c r="I184" s="72">
        <v>0.02</v>
      </c>
      <c r="J184" s="72">
        <v>0.02</v>
      </c>
      <c r="K184" s="73">
        <v>4.8</v>
      </c>
      <c r="L184" s="72">
        <v>0</v>
      </c>
      <c r="M184" s="72">
        <v>0</v>
      </c>
      <c r="N184" s="73">
        <v>14</v>
      </c>
      <c r="O184" s="73">
        <v>18</v>
      </c>
      <c r="P184" s="73">
        <v>0.03</v>
      </c>
      <c r="Q184" s="73">
        <v>0</v>
      </c>
      <c r="R184" s="73">
        <v>8</v>
      </c>
      <c r="S184" s="76">
        <v>0.72</v>
      </c>
      <c r="T184" s="78"/>
      <c r="U184" s="79"/>
      <c r="V184" s="79"/>
      <c r="W184" s="79"/>
    </row>
    <row r="185" spans="1:23" s="3" customFormat="1" ht="11.25" customHeight="1">
      <c r="A185" s="83" t="s">
        <v>90</v>
      </c>
      <c r="B185" s="192" t="s">
        <v>48</v>
      </c>
      <c r="C185" s="193"/>
      <c r="D185" s="74">
        <v>40</v>
      </c>
      <c r="E185" s="76">
        <f>2.64*D185/40</f>
        <v>2.64</v>
      </c>
      <c r="F185" s="76">
        <f>0.48*D185/40</f>
        <v>0.48</v>
      </c>
      <c r="G185" s="76">
        <f>13.68*D185/40</f>
        <v>13.680000000000001</v>
      </c>
      <c r="H185" s="73">
        <f t="shared" si="45"/>
        <v>69.60000000000001</v>
      </c>
      <c r="I185" s="72">
        <f>0.08*D185/40</f>
        <v>0.08</v>
      </c>
      <c r="J185" s="76">
        <f>0.04*D185/40</f>
        <v>0.04</v>
      </c>
      <c r="K185" s="74">
        <v>0</v>
      </c>
      <c r="L185" s="74">
        <v>0</v>
      </c>
      <c r="M185" s="76">
        <f>2.4*D185/40</f>
        <v>2.4</v>
      </c>
      <c r="N185" s="76">
        <f>14*D185/40</f>
        <v>14</v>
      </c>
      <c r="O185" s="76">
        <f>63.2*D185/40</f>
        <v>63.2</v>
      </c>
      <c r="P185" s="76">
        <f>1.2*D185/40</f>
        <v>1.2</v>
      </c>
      <c r="Q185" s="77">
        <f>0.001*D185/40</f>
        <v>0.001</v>
      </c>
      <c r="R185" s="76">
        <f>9.4*D185/40</f>
        <v>9.4</v>
      </c>
      <c r="S185" s="72">
        <f>0.78*D185/40</f>
        <v>0.78</v>
      </c>
      <c r="T185" s="30"/>
      <c r="U185" s="31"/>
      <c r="V185" s="31"/>
      <c r="W185" s="31"/>
    </row>
    <row r="186" spans="1:23" s="3" customFormat="1" ht="11.25" customHeight="1">
      <c r="A186" s="82" t="s">
        <v>90</v>
      </c>
      <c r="B186" s="192" t="s">
        <v>62</v>
      </c>
      <c r="C186" s="193"/>
      <c r="D186" s="74">
        <v>30</v>
      </c>
      <c r="E186" s="76">
        <f>1.52*D186/30</f>
        <v>1.52</v>
      </c>
      <c r="F186" s="77">
        <f>0.16*D186/30</f>
        <v>0.16</v>
      </c>
      <c r="G186" s="77">
        <f>9.84*D186/30</f>
        <v>9.84</v>
      </c>
      <c r="H186" s="77">
        <f t="shared" si="45"/>
        <v>46.879999999999995</v>
      </c>
      <c r="I186" s="77">
        <f>0.02*D186/30</f>
        <v>0.02</v>
      </c>
      <c r="J186" s="77">
        <f>0.01*D186/30</f>
        <v>0.01</v>
      </c>
      <c r="K186" s="77">
        <f>0.44*D186/30</f>
        <v>0.44</v>
      </c>
      <c r="L186" s="77">
        <v>0</v>
      </c>
      <c r="M186" s="77">
        <f>0.7*D186/30</f>
        <v>0.7</v>
      </c>
      <c r="N186" s="77">
        <f>4*D186/30</f>
        <v>4</v>
      </c>
      <c r="O186" s="77">
        <f>13*D186/30</f>
        <v>13</v>
      </c>
      <c r="P186" s="77">
        <f>0.008*D186/30</f>
        <v>0.008</v>
      </c>
      <c r="Q186" s="77">
        <f>0.001*D186/30</f>
        <v>0.001</v>
      </c>
      <c r="R186" s="77">
        <v>0</v>
      </c>
      <c r="S186" s="77">
        <f>0.22*D186/30</f>
        <v>0.22</v>
      </c>
      <c r="T186" s="78"/>
      <c r="U186" s="79"/>
      <c r="V186" s="79"/>
      <c r="W186" s="79"/>
    </row>
    <row r="187" spans="1:23" s="3" customFormat="1" ht="11.25" customHeight="1">
      <c r="A187" s="66" t="s">
        <v>28</v>
      </c>
      <c r="B187" s="67"/>
      <c r="C187" s="67"/>
      <c r="D187" s="126">
        <v>800</v>
      </c>
      <c r="E187" s="41">
        <f>SUM(E180:E186)</f>
        <v>35.106</v>
      </c>
      <c r="F187" s="40">
        <f>SUM(F180:F186)</f>
        <v>27.25</v>
      </c>
      <c r="G187" s="40">
        <f>SUM(G180:G186)</f>
        <v>96.674</v>
      </c>
      <c r="H187" s="40">
        <f>SUM(H180:H186)</f>
        <v>772.37</v>
      </c>
      <c r="I187" s="41">
        <f aca="true" t="shared" si="46" ref="I187:S187">SUM(I180:I186)</f>
        <v>1.0426666666666669</v>
      </c>
      <c r="J187" s="41">
        <f t="shared" si="46"/>
        <v>0.42533333333333334</v>
      </c>
      <c r="K187" s="40">
        <f t="shared" si="46"/>
        <v>11.676</v>
      </c>
      <c r="L187" s="41">
        <f t="shared" si="46"/>
        <v>0.0599</v>
      </c>
      <c r="M187" s="42">
        <f t="shared" si="46"/>
        <v>3.3355999999999995</v>
      </c>
      <c r="N187" s="41">
        <f t="shared" si="46"/>
        <v>178.767</v>
      </c>
      <c r="O187" s="40">
        <f t="shared" si="46"/>
        <v>392.522</v>
      </c>
      <c r="P187" s="40">
        <f t="shared" si="46"/>
        <v>7.7410000000000005</v>
      </c>
      <c r="Q187" s="41">
        <f t="shared" si="46"/>
        <v>0.09500000000000001</v>
      </c>
      <c r="R187" s="40">
        <f t="shared" si="46"/>
        <v>92.956</v>
      </c>
      <c r="S187" s="41">
        <f t="shared" si="46"/>
        <v>6.920999999999999</v>
      </c>
      <c r="T187" s="40"/>
      <c r="U187" s="43"/>
      <c r="V187" s="43"/>
      <c r="W187" s="43"/>
    </row>
    <row r="188" spans="1:23" s="3" customFormat="1" ht="11.25" customHeight="1">
      <c r="A188" s="229" t="s">
        <v>77</v>
      </c>
      <c r="B188" s="230"/>
      <c r="C188" s="230"/>
      <c r="D188" s="231"/>
      <c r="E188" s="102">
        <f>E187/E195</f>
        <v>0.45592207792207795</v>
      </c>
      <c r="F188" s="81">
        <f aca="true" t="shared" si="47" ref="F188:S188">F187/F195</f>
        <v>0.3449367088607595</v>
      </c>
      <c r="G188" s="81">
        <f t="shared" si="47"/>
        <v>0.288579104477612</v>
      </c>
      <c r="H188" s="81">
        <f t="shared" si="47"/>
        <v>0.32866808510638296</v>
      </c>
      <c r="I188" s="81">
        <f t="shared" si="47"/>
        <v>0.868888888888889</v>
      </c>
      <c r="J188" s="81">
        <f t="shared" si="47"/>
        <v>0.3038095238095238</v>
      </c>
      <c r="K188" s="81">
        <f t="shared" si="47"/>
        <v>0.1946</v>
      </c>
      <c r="L188" s="81">
        <f t="shared" si="47"/>
        <v>0.08557142857142858</v>
      </c>
      <c r="M188" s="81">
        <f t="shared" si="47"/>
        <v>0.33355999999999997</v>
      </c>
      <c r="N188" s="81">
        <f t="shared" si="47"/>
        <v>0.16251545454545455</v>
      </c>
      <c r="O188" s="81">
        <f t="shared" si="47"/>
        <v>0.35683818181818183</v>
      </c>
      <c r="P188" s="81">
        <f t="shared" si="47"/>
        <v>0.7741</v>
      </c>
      <c r="Q188" s="81">
        <f t="shared" si="47"/>
        <v>0.9500000000000001</v>
      </c>
      <c r="R188" s="81">
        <f t="shared" si="47"/>
        <v>0.371824</v>
      </c>
      <c r="S188" s="46">
        <f t="shared" si="47"/>
        <v>0.57675</v>
      </c>
      <c r="T188" s="51"/>
      <c r="U188" s="43"/>
      <c r="V188" s="43"/>
      <c r="W188" s="43"/>
    </row>
    <row r="189" spans="1:23" s="3" customFormat="1" ht="11.25" customHeight="1">
      <c r="A189" s="203" t="s">
        <v>29</v>
      </c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5"/>
      <c r="T189" s="11"/>
      <c r="U189" s="24"/>
      <c r="V189" s="24"/>
      <c r="W189" s="24"/>
    </row>
    <row r="190" spans="1:23" s="3" customFormat="1" ht="12" customHeight="1">
      <c r="A190" s="105">
        <v>403</v>
      </c>
      <c r="B190" s="192" t="s">
        <v>99</v>
      </c>
      <c r="C190" s="193"/>
      <c r="D190" s="74">
        <v>120</v>
      </c>
      <c r="E190" s="76">
        <f>10.7*D190/165</f>
        <v>7.781818181818182</v>
      </c>
      <c r="F190" s="73">
        <f>11.23*D190/165</f>
        <v>8.167272727272728</v>
      </c>
      <c r="G190" s="73">
        <f>68.44*D190/165</f>
        <v>49.77454545454545</v>
      </c>
      <c r="H190" s="76">
        <f>E190*4+F190*9+G190*4</f>
        <v>303.7309090909091</v>
      </c>
      <c r="I190" s="76">
        <v>0.11</v>
      </c>
      <c r="J190" s="76">
        <v>0.12</v>
      </c>
      <c r="K190" s="76">
        <f>1.61*D190/165</f>
        <v>1.1709090909090911</v>
      </c>
      <c r="L190" s="72">
        <v>0.06</v>
      </c>
      <c r="M190" s="73">
        <v>1.2</v>
      </c>
      <c r="N190" s="76">
        <f>119*D190/165</f>
        <v>86.54545454545455</v>
      </c>
      <c r="O190" s="76">
        <v>69.8</v>
      </c>
      <c r="P190" s="76">
        <v>1.7</v>
      </c>
      <c r="Q190" s="77">
        <v>0.01</v>
      </c>
      <c r="R190" s="76">
        <f>47.7*D190/165</f>
        <v>34.69090909090909</v>
      </c>
      <c r="S190" s="76">
        <f>2.3*D190/165</f>
        <v>1.6727272727272726</v>
      </c>
      <c r="T190" s="78"/>
      <c r="U190" s="79"/>
      <c r="V190" s="79"/>
      <c r="W190" s="79"/>
    </row>
    <row r="191" spans="1:23" s="3" customFormat="1" ht="23.25" customHeight="1">
      <c r="A191" s="82">
        <v>349</v>
      </c>
      <c r="B191" s="192" t="s">
        <v>53</v>
      </c>
      <c r="C191" s="193"/>
      <c r="D191" s="74">
        <v>200</v>
      </c>
      <c r="E191" s="76">
        <v>0.22</v>
      </c>
      <c r="F191" s="72"/>
      <c r="G191" s="76">
        <v>24.42</v>
      </c>
      <c r="H191" s="76">
        <f>E191*4+F191*9+G191*4</f>
        <v>98.56</v>
      </c>
      <c r="I191" s="72"/>
      <c r="J191" s="72"/>
      <c r="K191" s="76">
        <v>26.11</v>
      </c>
      <c r="L191" s="72"/>
      <c r="M191" s="72"/>
      <c r="N191" s="73">
        <v>22.6</v>
      </c>
      <c r="O191" s="73">
        <v>7.7</v>
      </c>
      <c r="P191" s="74">
        <v>0</v>
      </c>
      <c r="Q191" s="74">
        <v>0</v>
      </c>
      <c r="R191" s="73">
        <v>3</v>
      </c>
      <c r="S191" s="76">
        <v>0.66</v>
      </c>
      <c r="T191" s="78"/>
      <c r="U191" s="79"/>
      <c r="V191" s="79"/>
      <c r="W191" s="79"/>
    </row>
    <row r="192" spans="1:23" s="1" customFormat="1" ht="11.25" customHeight="1">
      <c r="A192" s="66" t="s">
        <v>30</v>
      </c>
      <c r="B192" s="67"/>
      <c r="C192" s="67"/>
      <c r="D192" s="130">
        <f>SUM(D190:D191)</f>
        <v>320</v>
      </c>
      <c r="E192" s="41">
        <f>SUM(E190:E191)</f>
        <v>8.001818181818182</v>
      </c>
      <c r="F192" s="40">
        <f>SUM(F190:F191)</f>
        <v>8.167272727272728</v>
      </c>
      <c r="G192" s="40">
        <f>SUM(G190:G191)</f>
        <v>74.19454545454545</v>
      </c>
      <c r="H192" s="40">
        <f>SUM(H190:H191)</f>
        <v>402.2909090909091</v>
      </c>
      <c r="I192" s="41">
        <f aca="true" t="shared" si="48" ref="I192:S192">SUM(I190:I191)</f>
        <v>0.11</v>
      </c>
      <c r="J192" s="41">
        <f t="shared" si="48"/>
        <v>0.12</v>
      </c>
      <c r="K192" s="41">
        <f t="shared" si="48"/>
        <v>27.28090909090909</v>
      </c>
      <c r="L192" s="41">
        <f t="shared" si="48"/>
        <v>0.06</v>
      </c>
      <c r="M192" s="42">
        <f t="shared" si="48"/>
        <v>1.2</v>
      </c>
      <c r="N192" s="41">
        <f t="shared" si="48"/>
        <v>109.14545454545456</v>
      </c>
      <c r="O192" s="41">
        <f t="shared" si="48"/>
        <v>77.5</v>
      </c>
      <c r="P192" s="41">
        <f t="shared" si="48"/>
        <v>1.7</v>
      </c>
      <c r="Q192" s="41">
        <f t="shared" si="48"/>
        <v>0.01</v>
      </c>
      <c r="R192" s="41">
        <f t="shared" si="48"/>
        <v>37.69090909090909</v>
      </c>
      <c r="S192" s="41">
        <f t="shared" si="48"/>
        <v>2.3327272727272725</v>
      </c>
      <c r="T192" s="40"/>
      <c r="U192" s="43"/>
      <c r="V192" s="43"/>
      <c r="W192" s="43"/>
    </row>
    <row r="193" spans="1:23" s="1" customFormat="1" ht="11.25" customHeight="1">
      <c r="A193" s="229" t="s">
        <v>77</v>
      </c>
      <c r="B193" s="230"/>
      <c r="C193" s="230"/>
      <c r="D193" s="231"/>
      <c r="E193" s="41">
        <f>E192/E195</f>
        <v>0.10391971664698937</v>
      </c>
      <c r="F193" s="46">
        <f aca="true" t="shared" si="49" ref="F193:S193">F192/F195</f>
        <v>0.10338319907940162</v>
      </c>
      <c r="G193" s="46">
        <f t="shared" si="49"/>
        <v>0.22147625508819538</v>
      </c>
      <c r="H193" s="46">
        <f t="shared" si="49"/>
        <v>0.17118762088974857</v>
      </c>
      <c r="I193" s="46">
        <f t="shared" si="49"/>
        <v>0.09166666666666667</v>
      </c>
      <c r="J193" s="46">
        <f t="shared" si="49"/>
        <v>0.08571428571428572</v>
      </c>
      <c r="K193" s="46">
        <f t="shared" si="49"/>
        <v>0.4546818181818182</v>
      </c>
      <c r="L193" s="46">
        <f t="shared" si="49"/>
        <v>0.08571428571428572</v>
      </c>
      <c r="M193" s="46">
        <f t="shared" si="49"/>
        <v>0.12</v>
      </c>
      <c r="N193" s="46">
        <f t="shared" si="49"/>
        <v>0.09922314049586778</v>
      </c>
      <c r="O193" s="46">
        <f t="shared" si="49"/>
        <v>0.07045454545454545</v>
      </c>
      <c r="P193" s="46">
        <f t="shared" si="49"/>
        <v>0.16999999999999998</v>
      </c>
      <c r="Q193" s="46">
        <f t="shared" si="49"/>
        <v>0.09999999999999999</v>
      </c>
      <c r="R193" s="46">
        <f t="shared" si="49"/>
        <v>0.15076363636363635</v>
      </c>
      <c r="S193" s="46">
        <f t="shared" si="49"/>
        <v>0.19439393939393937</v>
      </c>
      <c r="T193" s="51"/>
      <c r="U193" s="43"/>
      <c r="V193" s="43"/>
      <c r="W193" s="43"/>
    </row>
    <row r="194" spans="1:23" s="1" customFormat="1" ht="11.25" customHeight="1">
      <c r="A194" s="219" t="s">
        <v>76</v>
      </c>
      <c r="B194" s="220"/>
      <c r="C194" s="220"/>
      <c r="D194" s="221"/>
      <c r="E194" s="41">
        <f aca="true" t="shared" si="50" ref="E194:S194">SUM(E176,E187,E192)</f>
        <v>68.20448484848485</v>
      </c>
      <c r="F194" s="40">
        <f t="shared" si="50"/>
        <v>62.05060606060606</v>
      </c>
      <c r="G194" s="40">
        <f t="shared" si="50"/>
        <v>226.57854545454546</v>
      </c>
      <c r="H194" s="40">
        <f t="shared" si="50"/>
        <v>1737.5875757575757</v>
      </c>
      <c r="I194" s="41">
        <f t="shared" si="50"/>
        <v>1.3713333333333337</v>
      </c>
      <c r="J194" s="41">
        <f t="shared" si="50"/>
        <v>0.9806666666666667</v>
      </c>
      <c r="K194" s="40">
        <f t="shared" si="50"/>
        <v>68.74057575757575</v>
      </c>
      <c r="L194" s="41">
        <f t="shared" si="50"/>
        <v>0.5819999999999999</v>
      </c>
      <c r="M194" s="41">
        <f t="shared" si="50"/>
        <v>9.833933333333333</v>
      </c>
      <c r="N194" s="40">
        <f t="shared" si="50"/>
        <v>638.2757878787878</v>
      </c>
      <c r="O194" s="40">
        <f t="shared" si="50"/>
        <v>902.4553333333333</v>
      </c>
      <c r="P194" s="41">
        <f t="shared" si="50"/>
        <v>12.039666666666667</v>
      </c>
      <c r="Q194" s="42">
        <f t="shared" si="50"/>
        <v>0.18133333333333335</v>
      </c>
      <c r="R194" s="41">
        <f t="shared" si="50"/>
        <v>215.79690909090908</v>
      </c>
      <c r="S194" s="41">
        <f t="shared" si="50"/>
        <v>12.587060606060605</v>
      </c>
      <c r="T194" s="44"/>
      <c r="U194" s="43"/>
      <c r="V194" s="43"/>
      <c r="W194" s="43"/>
    </row>
    <row r="195" spans="1:23" s="1" customFormat="1" ht="11.25" customHeight="1">
      <c r="A195" s="219" t="s">
        <v>78</v>
      </c>
      <c r="B195" s="220"/>
      <c r="C195" s="220"/>
      <c r="D195" s="221"/>
      <c r="E195" s="76">
        <v>77</v>
      </c>
      <c r="F195" s="73">
        <v>79</v>
      </c>
      <c r="G195" s="73">
        <v>335</v>
      </c>
      <c r="H195" s="73">
        <v>2350</v>
      </c>
      <c r="I195" s="76">
        <v>1.2</v>
      </c>
      <c r="J195" s="76">
        <v>1.4</v>
      </c>
      <c r="K195" s="74">
        <v>60</v>
      </c>
      <c r="L195" s="76">
        <v>0.7</v>
      </c>
      <c r="M195" s="74">
        <v>10</v>
      </c>
      <c r="N195" s="74">
        <v>1100</v>
      </c>
      <c r="O195" s="74">
        <v>1100</v>
      </c>
      <c r="P195" s="74">
        <v>10</v>
      </c>
      <c r="Q195" s="73">
        <v>0.1</v>
      </c>
      <c r="R195" s="74">
        <v>250</v>
      </c>
      <c r="S195" s="76">
        <v>12</v>
      </c>
      <c r="T195" s="78"/>
      <c r="U195" s="79"/>
      <c r="V195" s="79"/>
      <c r="W195" s="79"/>
    </row>
    <row r="196" spans="1:23" s="1" customFormat="1" ht="11.25" customHeight="1">
      <c r="A196" s="229" t="s">
        <v>77</v>
      </c>
      <c r="B196" s="230"/>
      <c r="C196" s="230"/>
      <c r="D196" s="231"/>
      <c r="E196" s="81">
        <f aca="true" t="shared" si="51" ref="E196:S196">E194/E195</f>
        <v>0.8857725304998033</v>
      </c>
      <c r="F196" s="46">
        <f t="shared" si="51"/>
        <v>0.7854507096279247</v>
      </c>
      <c r="G196" s="46">
        <f t="shared" si="51"/>
        <v>0.6763538670284939</v>
      </c>
      <c r="H196" s="46">
        <f t="shared" si="51"/>
        <v>0.739398968407479</v>
      </c>
      <c r="I196" s="46">
        <f t="shared" si="51"/>
        <v>1.1427777777777781</v>
      </c>
      <c r="J196" s="46">
        <f t="shared" si="51"/>
        <v>0.7004761904761906</v>
      </c>
      <c r="K196" s="46">
        <f t="shared" si="51"/>
        <v>1.1456762626262627</v>
      </c>
      <c r="L196" s="47">
        <f t="shared" si="51"/>
        <v>0.8314285714285713</v>
      </c>
      <c r="M196" s="46">
        <f t="shared" si="51"/>
        <v>0.9833933333333332</v>
      </c>
      <c r="N196" s="46">
        <f t="shared" si="51"/>
        <v>0.5802507162534435</v>
      </c>
      <c r="O196" s="46">
        <f t="shared" si="51"/>
        <v>0.8204139393939394</v>
      </c>
      <c r="P196" s="46">
        <f t="shared" si="51"/>
        <v>1.2039666666666666</v>
      </c>
      <c r="Q196" s="47">
        <f t="shared" si="51"/>
        <v>1.8133333333333335</v>
      </c>
      <c r="R196" s="46">
        <f t="shared" si="51"/>
        <v>0.8631876363636364</v>
      </c>
      <c r="S196" s="47">
        <f t="shared" si="51"/>
        <v>1.0489217171717171</v>
      </c>
      <c r="T196" s="48"/>
      <c r="U196" s="49"/>
      <c r="V196" s="49"/>
      <c r="W196" s="49"/>
    </row>
    <row r="197" spans="1:23" s="1" customFormat="1" ht="11.25" customHeight="1">
      <c r="A197" s="182" t="s">
        <v>171</v>
      </c>
      <c r="B197" s="182"/>
      <c r="C197" s="182"/>
      <c r="D197" s="182"/>
      <c r="E197" s="178"/>
      <c r="F197" s="180"/>
      <c r="G197" s="180"/>
      <c r="H197" s="175"/>
      <c r="I197" s="175"/>
      <c r="J197" s="175"/>
      <c r="K197" s="175"/>
      <c r="L197" s="176"/>
      <c r="M197" s="175"/>
      <c r="N197" s="175"/>
      <c r="O197" s="175"/>
      <c r="P197" s="175"/>
      <c r="Q197" s="176"/>
      <c r="R197" s="175"/>
      <c r="S197" s="176"/>
      <c r="T197" s="48"/>
      <c r="U197" s="49"/>
      <c r="V197" s="49"/>
      <c r="W197" s="49"/>
    </row>
    <row r="198" spans="1:23" s="1" customFormat="1" ht="11.25" customHeight="1">
      <c r="A198" s="62"/>
      <c r="B198" s="59"/>
      <c r="C198" s="59"/>
      <c r="D198" s="75"/>
      <c r="E198" s="36"/>
      <c r="F198" s="75"/>
      <c r="G198" s="75"/>
      <c r="H198" s="75"/>
      <c r="I198" s="75"/>
      <c r="J198" s="75"/>
      <c r="K198" s="75"/>
      <c r="L198" s="223" t="s">
        <v>89</v>
      </c>
      <c r="M198" s="223"/>
      <c r="N198" s="223"/>
      <c r="O198" s="223"/>
      <c r="P198" s="223"/>
      <c r="Q198" s="223"/>
      <c r="R198" s="223"/>
      <c r="S198" s="223"/>
      <c r="T198" s="12"/>
      <c r="U198" s="19"/>
      <c r="V198" s="19"/>
      <c r="W198" s="19"/>
    </row>
    <row r="199" spans="1:23" s="3" customFormat="1" ht="11.25" customHeight="1">
      <c r="A199" s="236" t="s">
        <v>40</v>
      </c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13"/>
      <c r="U199" s="25"/>
      <c r="V199" s="25"/>
      <c r="W199" s="25"/>
    </row>
    <row r="200" spans="1:23" s="3" customFormat="1" ht="11.25" customHeight="1">
      <c r="A200" s="63" t="s">
        <v>66</v>
      </c>
      <c r="B200" s="59"/>
      <c r="C200" s="59"/>
      <c r="D200" s="2"/>
      <c r="E200" s="36"/>
      <c r="F200" s="224" t="s">
        <v>0</v>
      </c>
      <c r="G200" s="224"/>
      <c r="H200" s="224"/>
      <c r="I200" s="75"/>
      <c r="J200" s="75"/>
      <c r="K200" s="222" t="s">
        <v>1</v>
      </c>
      <c r="L200" s="222"/>
      <c r="M200" s="217" t="s">
        <v>85</v>
      </c>
      <c r="N200" s="217"/>
      <c r="O200" s="217"/>
      <c r="P200" s="217"/>
      <c r="Q200" s="75"/>
      <c r="R200" s="75"/>
      <c r="S200" s="75"/>
      <c r="T200" s="14"/>
      <c r="U200" s="20"/>
      <c r="V200" s="20"/>
      <c r="W200" s="20"/>
    </row>
    <row r="201" spans="1:23" s="3" customFormat="1" ht="11.25" customHeight="1">
      <c r="A201" s="59"/>
      <c r="B201" s="59"/>
      <c r="C201" s="59"/>
      <c r="D201" s="227" t="s">
        <v>2</v>
      </c>
      <c r="E201" s="227"/>
      <c r="F201" s="7">
        <v>2</v>
      </c>
      <c r="G201" s="75"/>
      <c r="H201" s="2"/>
      <c r="I201" s="2"/>
      <c r="J201" s="2"/>
      <c r="K201" s="227" t="s">
        <v>3</v>
      </c>
      <c r="L201" s="227"/>
      <c r="M201" s="228" t="s">
        <v>68</v>
      </c>
      <c r="N201" s="228"/>
      <c r="O201" s="228"/>
      <c r="P201" s="228"/>
      <c r="Q201" s="228"/>
      <c r="R201" s="228"/>
      <c r="S201" s="228"/>
      <c r="T201" s="15"/>
      <c r="U201" s="21"/>
      <c r="V201" s="21"/>
      <c r="W201" s="21"/>
    </row>
    <row r="202" spans="1:23" s="3" customFormat="1" ht="21.75" customHeight="1">
      <c r="A202" s="209" t="s">
        <v>4</v>
      </c>
      <c r="B202" s="211" t="s">
        <v>5</v>
      </c>
      <c r="C202" s="212"/>
      <c r="D202" s="209" t="s">
        <v>6</v>
      </c>
      <c r="E202" s="206" t="s">
        <v>7</v>
      </c>
      <c r="F202" s="207"/>
      <c r="G202" s="208"/>
      <c r="H202" s="209" t="s">
        <v>8</v>
      </c>
      <c r="I202" s="206" t="s">
        <v>9</v>
      </c>
      <c r="J202" s="207"/>
      <c r="K202" s="207"/>
      <c r="L202" s="207"/>
      <c r="M202" s="208"/>
      <c r="N202" s="206" t="s">
        <v>10</v>
      </c>
      <c r="O202" s="207"/>
      <c r="P202" s="207"/>
      <c r="Q202" s="207"/>
      <c r="R202" s="207"/>
      <c r="S202" s="208"/>
      <c r="T202" s="9"/>
      <c r="U202" s="20"/>
      <c r="V202" s="20"/>
      <c r="W202" s="20"/>
    </row>
    <row r="203" spans="1:23" s="3" customFormat="1" ht="21" customHeight="1">
      <c r="A203" s="210"/>
      <c r="B203" s="213"/>
      <c r="C203" s="214"/>
      <c r="D203" s="210"/>
      <c r="E203" s="96" t="s">
        <v>11</v>
      </c>
      <c r="F203" s="108" t="s">
        <v>12</v>
      </c>
      <c r="G203" s="108" t="s">
        <v>13</v>
      </c>
      <c r="H203" s="210"/>
      <c r="I203" s="108" t="s">
        <v>14</v>
      </c>
      <c r="J203" s="108" t="s">
        <v>69</v>
      </c>
      <c r="K203" s="108" t="s">
        <v>15</v>
      </c>
      <c r="L203" s="108" t="s">
        <v>16</v>
      </c>
      <c r="M203" s="108" t="s">
        <v>17</v>
      </c>
      <c r="N203" s="108" t="s">
        <v>18</v>
      </c>
      <c r="O203" s="108" t="s">
        <v>19</v>
      </c>
      <c r="P203" s="108" t="s">
        <v>70</v>
      </c>
      <c r="Q203" s="108" t="s">
        <v>71</v>
      </c>
      <c r="R203" s="108" t="s">
        <v>20</v>
      </c>
      <c r="S203" s="108" t="s">
        <v>21</v>
      </c>
      <c r="T203" s="9"/>
      <c r="U203" s="20"/>
      <c r="V203" s="20"/>
      <c r="W203" s="20"/>
    </row>
    <row r="204" spans="1:23" s="3" customFormat="1" ht="11.25" customHeight="1">
      <c r="A204" s="105">
        <v>1</v>
      </c>
      <c r="B204" s="198">
        <v>2</v>
      </c>
      <c r="C204" s="199"/>
      <c r="D204" s="39">
        <v>3</v>
      </c>
      <c r="E204" s="97">
        <v>4</v>
      </c>
      <c r="F204" s="39">
        <v>5</v>
      </c>
      <c r="G204" s="39">
        <v>6</v>
      </c>
      <c r="H204" s="39">
        <v>7</v>
      </c>
      <c r="I204" s="39">
        <v>8</v>
      </c>
      <c r="J204" s="39">
        <v>9</v>
      </c>
      <c r="K204" s="39">
        <v>10</v>
      </c>
      <c r="L204" s="39">
        <v>11</v>
      </c>
      <c r="M204" s="39">
        <v>12</v>
      </c>
      <c r="N204" s="39">
        <v>13</v>
      </c>
      <c r="O204" s="39">
        <v>14</v>
      </c>
      <c r="P204" s="39">
        <v>15</v>
      </c>
      <c r="Q204" s="39">
        <v>16</v>
      </c>
      <c r="R204" s="39">
        <v>17</v>
      </c>
      <c r="S204" s="39">
        <v>18</v>
      </c>
      <c r="T204" s="10"/>
      <c r="U204" s="20"/>
      <c r="V204" s="20"/>
      <c r="W204" s="20"/>
    </row>
    <row r="205" spans="1:23" s="3" customFormat="1" ht="11.25" customHeight="1">
      <c r="A205" s="203" t="s">
        <v>25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5"/>
      <c r="T205" s="11"/>
      <c r="U205" s="20"/>
      <c r="V205" s="20"/>
      <c r="W205" s="20"/>
    </row>
    <row r="206" spans="1:23" s="3" customFormat="1" ht="11.25" customHeight="1">
      <c r="A206" s="113">
        <v>338</v>
      </c>
      <c r="B206" s="191" t="s">
        <v>168</v>
      </c>
      <c r="C206" s="191"/>
      <c r="D206" s="74">
        <v>100</v>
      </c>
      <c r="E206" s="76">
        <v>0.4</v>
      </c>
      <c r="F206" s="76">
        <v>0.4</v>
      </c>
      <c r="G206" s="76">
        <v>9.8</v>
      </c>
      <c r="H206" s="76">
        <f>E206*4+F206*9+G206*4</f>
        <v>44.400000000000006</v>
      </c>
      <c r="I206" s="76">
        <v>0.04</v>
      </c>
      <c r="J206" s="76">
        <v>0.02</v>
      </c>
      <c r="K206" s="74">
        <v>10</v>
      </c>
      <c r="L206" s="74">
        <v>0.02</v>
      </c>
      <c r="M206" s="76">
        <v>0.2</v>
      </c>
      <c r="N206" s="76">
        <v>16</v>
      </c>
      <c r="O206" s="76">
        <v>11</v>
      </c>
      <c r="P206" s="74">
        <v>0.03</v>
      </c>
      <c r="Q206" s="74">
        <v>0.002</v>
      </c>
      <c r="R206" s="76">
        <v>9</v>
      </c>
      <c r="S206" s="76">
        <v>2.2</v>
      </c>
      <c r="T206" s="11"/>
      <c r="U206" s="24"/>
      <c r="V206" s="24"/>
      <c r="W206" s="24"/>
    </row>
    <row r="207" spans="1:23" s="3" customFormat="1" ht="11.25" customHeight="1">
      <c r="A207" s="113">
        <v>15</v>
      </c>
      <c r="B207" s="192" t="s">
        <v>111</v>
      </c>
      <c r="C207" s="193"/>
      <c r="D207" s="74">
        <v>20</v>
      </c>
      <c r="E207" s="76">
        <f>2.32*D207/10</f>
        <v>4.64</v>
      </c>
      <c r="F207" s="76">
        <f>3.4*D207/10</f>
        <v>6.8</v>
      </c>
      <c r="G207" s="76">
        <f>0.01*D207/10</f>
        <v>0.02</v>
      </c>
      <c r="H207" s="76">
        <f>E207*4+F207*9+G207*4</f>
        <v>79.83999999999999</v>
      </c>
      <c r="I207" s="76">
        <f>0.004*D207/10</f>
        <v>0.008</v>
      </c>
      <c r="J207" s="76">
        <f>0.03*D207/10</f>
        <v>0.06</v>
      </c>
      <c r="K207" s="76">
        <f>0.07*D207/10</f>
        <v>0.14</v>
      </c>
      <c r="L207" s="77">
        <f>0.023*D207/10</f>
        <v>0.046</v>
      </c>
      <c r="M207" s="76">
        <f>0.05*D207/10</f>
        <v>0.1</v>
      </c>
      <c r="N207" s="76">
        <f>88*D207/10</f>
        <v>176</v>
      </c>
      <c r="O207" s="76">
        <f>50*D207/10</f>
        <v>100</v>
      </c>
      <c r="P207" s="76">
        <f>0.4*D207/10</f>
        <v>0.8</v>
      </c>
      <c r="Q207" s="77">
        <f>0.02*D207/10</f>
        <v>0.04</v>
      </c>
      <c r="R207" s="76">
        <f>3.5*D207/10</f>
        <v>7</v>
      </c>
      <c r="S207" s="76">
        <f>0.13*D207/10</f>
        <v>0.26</v>
      </c>
      <c r="T207" s="11"/>
      <c r="U207" s="24"/>
      <c r="V207" s="24"/>
      <c r="W207" s="24"/>
    </row>
    <row r="208" spans="1:23" s="3" customFormat="1" ht="21.75" customHeight="1">
      <c r="A208" s="82">
        <v>173</v>
      </c>
      <c r="B208" s="192" t="s">
        <v>81</v>
      </c>
      <c r="C208" s="193"/>
      <c r="D208" s="74">
        <v>200</v>
      </c>
      <c r="E208" s="76">
        <v>7.3</v>
      </c>
      <c r="F208" s="73">
        <v>12.5</v>
      </c>
      <c r="G208" s="73">
        <v>54.3</v>
      </c>
      <c r="H208" s="73">
        <f>E208*4+F208*9+G208*4</f>
        <v>358.9</v>
      </c>
      <c r="I208" s="76">
        <v>0.14</v>
      </c>
      <c r="J208" s="76">
        <v>0.18</v>
      </c>
      <c r="K208" s="76">
        <v>3.35</v>
      </c>
      <c r="L208" s="77">
        <v>0.037</v>
      </c>
      <c r="M208" s="76">
        <v>1.3</v>
      </c>
      <c r="N208" s="73">
        <v>147.6</v>
      </c>
      <c r="O208" s="73">
        <v>198.6</v>
      </c>
      <c r="P208" s="74">
        <v>0</v>
      </c>
      <c r="Q208" s="73">
        <v>0</v>
      </c>
      <c r="R208" s="73">
        <v>57.8</v>
      </c>
      <c r="S208" s="76">
        <v>1.3</v>
      </c>
      <c r="T208" s="78"/>
      <c r="U208" s="79"/>
      <c r="V208" s="79"/>
      <c r="W208" s="79"/>
    </row>
    <row r="209" spans="1:23" s="3" customFormat="1" ht="12.75" customHeight="1">
      <c r="A209" s="105">
        <v>379</v>
      </c>
      <c r="B209" s="192" t="s">
        <v>60</v>
      </c>
      <c r="C209" s="193"/>
      <c r="D209" s="74">
        <v>200</v>
      </c>
      <c r="E209" s="76">
        <v>3.17</v>
      </c>
      <c r="F209" s="76">
        <v>2.68</v>
      </c>
      <c r="G209" s="76">
        <v>15.95</v>
      </c>
      <c r="H209" s="76">
        <f>E209*4+F209*9+G209*4</f>
        <v>100.6</v>
      </c>
      <c r="I209" s="76">
        <v>0.04</v>
      </c>
      <c r="J209" s="76">
        <v>0.15</v>
      </c>
      <c r="K209" s="76">
        <v>1.3</v>
      </c>
      <c r="L209" s="77">
        <v>0.03</v>
      </c>
      <c r="M209" s="72">
        <v>0.06</v>
      </c>
      <c r="N209" s="76">
        <v>120.4</v>
      </c>
      <c r="O209" s="73">
        <v>90</v>
      </c>
      <c r="P209" s="76">
        <v>1.1</v>
      </c>
      <c r="Q209" s="77">
        <v>0.01</v>
      </c>
      <c r="R209" s="76">
        <v>14</v>
      </c>
      <c r="S209" s="76">
        <v>0.12</v>
      </c>
      <c r="T209" s="78"/>
      <c r="U209" s="79"/>
      <c r="V209" s="79"/>
      <c r="W209" s="79"/>
    </row>
    <row r="210" spans="1:23" s="3" customFormat="1" ht="13.5" customHeight="1">
      <c r="A210" s="82" t="s">
        <v>90</v>
      </c>
      <c r="B210" s="192" t="s">
        <v>62</v>
      </c>
      <c r="C210" s="193"/>
      <c r="D210" s="74">
        <v>40</v>
      </c>
      <c r="E210" s="76">
        <f>1.52*D210/30</f>
        <v>2.0266666666666664</v>
      </c>
      <c r="F210" s="77">
        <f>0.16*D210/30</f>
        <v>0.21333333333333335</v>
      </c>
      <c r="G210" s="77">
        <f>9.84*D210/30</f>
        <v>13.120000000000001</v>
      </c>
      <c r="H210" s="77">
        <f>E210*4+F210*9+G210*4</f>
        <v>62.50666666666667</v>
      </c>
      <c r="I210" s="77">
        <f>0.02*D210/30</f>
        <v>0.02666666666666667</v>
      </c>
      <c r="J210" s="77">
        <f>0.01*D210/30</f>
        <v>0.013333333333333334</v>
      </c>
      <c r="K210" s="77">
        <f>0.44*D210/30</f>
        <v>0.5866666666666667</v>
      </c>
      <c r="L210" s="77">
        <v>0</v>
      </c>
      <c r="M210" s="77">
        <f>0.7*D210/30</f>
        <v>0.9333333333333333</v>
      </c>
      <c r="N210" s="77">
        <f>4*D210/30</f>
        <v>5.333333333333333</v>
      </c>
      <c r="O210" s="77">
        <f>13*D210/30</f>
        <v>17.333333333333332</v>
      </c>
      <c r="P210" s="77">
        <f>0.008*D210/30</f>
        <v>0.010666666666666666</v>
      </c>
      <c r="Q210" s="77">
        <f>0.001*D210/30</f>
        <v>0.0013333333333333333</v>
      </c>
      <c r="R210" s="77">
        <v>0</v>
      </c>
      <c r="S210" s="77">
        <f>0.22*D210/30</f>
        <v>0.29333333333333333</v>
      </c>
      <c r="T210" s="78"/>
      <c r="U210" s="79"/>
      <c r="V210" s="79"/>
      <c r="W210" s="79"/>
    </row>
    <row r="211" spans="1:23" s="1" customFormat="1" ht="11.25" customHeight="1">
      <c r="A211" s="66" t="s">
        <v>26</v>
      </c>
      <c r="B211" s="67"/>
      <c r="C211" s="67"/>
      <c r="D211" s="130">
        <f>SUM(D206:D210)</f>
        <v>560</v>
      </c>
      <c r="E211" s="41">
        <f aca="true" t="shared" si="52" ref="E211:S211">SUM(E206:E210)</f>
        <v>17.536666666666665</v>
      </c>
      <c r="F211" s="40">
        <f t="shared" si="52"/>
        <v>22.593333333333334</v>
      </c>
      <c r="G211" s="40">
        <f t="shared" si="52"/>
        <v>93.19000000000001</v>
      </c>
      <c r="H211" s="40">
        <f t="shared" si="52"/>
        <v>646.2466666666667</v>
      </c>
      <c r="I211" s="41">
        <f t="shared" si="52"/>
        <v>0.25466666666666665</v>
      </c>
      <c r="J211" s="41">
        <f t="shared" si="52"/>
        <v>0.42333333333333334</v>
      </c>
      <c r="K211" s="41">
        <f t="shared" si="52"/>
        <v>15.376666666666667</v>
      </c>
      <c r="L211" s="41">
        <f t="shared" si="52"/>
        <v>0.133</v>
      </c>
      <c r="M211" s="41">
        <f t="shared" si="52"/>
        <v>2.5933333333333337</v>
      </c>
      <c r="N211" s="41">
        <f t="shared" si="52"/>
        <v>465.3333333333333</v>
      </c>
      <c r="O211" s="41">
        <f t="shared" si="52"/>
        <v>416.93333333333334</v>
      </c>
      <c r="P211" s="41">
        <f t="shared" si="52"/>
        <v>1.9406666666666668</v>
      </c>
      <c r="Q211" s="42">
        <f t="shared" si="52"/>
        <v>0.05333333333333334</v>
      </c>
      <c r="R211" s="41">
        <f t="shared" si="52"/>
        <v>87.8</v>
      </c>
      <c r="S211" s="41">
        <f t="shared" si="52"/>
        <v>4.173333333333333</v>
      </c>
      <c r="T211" s="40"/>
      <c r="U211" s="43"/>
      <c r="V211" s="43"/>
      <c r="W211" s="43"/>
    </row>
    <row r="212" spans="1:23" s="1" customFormat="1" ht="11.25" customHeight="1">
      <c r="A212" s="229" t="s">
        <v>77</v>
      </c>
      <c r="B212" s="230"/>
      <c r="C212" s="230"/>
      <c r="D212" s="231"/>
      <c r="E212" s="102">
        <f aca="true" t="shared" si="53" ref="E212:S212">E211/E234</f>
        <v>0.22774891774891773</v>
      </c>
      <c r="F212" s="46">
        <f t="shared" si="53"/>
        <v>0.2859915611814346</v>
      </c>
      <c r="G212" s="46">
        <f t="shared" si="53"/>
        <v>0.27817910447761196</v>
      </c>
      <c r="H212" s="46">
        <f t="shared" si="53"/>
        <v>0.2749985815602837</v>
      </c>
      <c r="I212" s="46">
        <f t="shared" si="53"/>
        <v>0.21222222222222223</v>
      </c>
      <c r="J212" s="46">
        <f t="shared" si="53"/>
        <v>0.3023809523809524</v>
      </c>
      <c r="K212" s="46">
        <f t="shared" si="53"/>
        <v>0.25627777777777777</v>
      </c>
      <c r="L212" s="46">
        <f t="shared" si="53"/>
        <v>0.19000000000000003</v>
      </c>
      <c r="M212" s="46">
        <f t="shared" si="53"/>
        <v>0.25933333333333336</v>
      </c>
      <c r="N212" s="46">
        <f t="shared" si="53"/>
        <v>0.42303030303030303</v>
      </c>
      <c r="O212" s="46">
        <f t="shared" si="53"/>
        <v>0.37903030303030305</v>
      </c>
      <c r="P212" s="46">
        <f t="shared" si="53"/>
        <v>0.19406666666666667</v>
      </c>
      <c r="Q212" s="46">
        <f t="shared" si="53"/>
        <v>0.5333333333333333</v>
      </c>
      <c r="R212" s="46">
        <f t="shared" si="53"/>
        <v>0.3512</v>
      </c>
      <c r="S212" s="46">
        <f t="shared" si="53"/>
        <v>0.34777777777777774</v>
      </c>
      <c r="T212" s="51"/>
      <c r="U212" s="43"/>
      <c r="V212" s="43"/>
      <c r="W212" s="43"/>
    </row>
    <row r="213" spans="1:23" s="1" customFormat="1" ht="11.25" customHeight="1">
      <c r="A213" s="163" t="s">
        <v>146</v>
      </c>
      <c r="B213" s="164"/>
      <c r="C213" s="164"/>
      <c r="D213" s="165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51"/>
      <c r="U213" s="43"/>
      <c r="V213" s="43"/>
      <c r="W213" s="43"/>
    </row>
    <row r="214" spans="1:23" s="1" customFormat="1" ht="11.25" customHeight="1">
      <c r="A214" s="127" t="s">
        <v>90</v>
      </c>
      <c r="B214" s="122" t="s">
        <v>147</v>
      </c>
      <c r="C214" s="164"/>
      <c r="D214" s="127">
        <v>200</v>
      </c>
      <c r="E214" s="123">
        <v>5.4</v>
      </c>
      <c r="F214" s="123">
        <v>4.4</v>
      </c>
      <c r="G214" s="123">
        <v>8.8</v>
      </c>
      <c r="H214" s="123">
        <v>96.4</v>
      </c>
      <c r="I214" s="123">
        <v>0.08</v>
      </c>
      <c r="J214" s="123">
        <v>0.307</v>
      </c>
      <c r="K214" s="123">
        <v>2.6</v>
      </c>
      <c r="L214" s="123">
        <v>0.067</v>
      </c>
      <c r="M214" s="123">
        <v>0.292</v>
      </c>
      <c r="N214" s="124">
        <v>240</v>
      </c>
      <c r="O214" s="124">
        <v>180</v>
      </c>
      <c r="P214" s="125">
        <v>0.8</v>
      </c>
      <c r="Q214" s="123">
        <v>0.018</v>
      </c>
      <c r="R214" s="124">
        <v>28</v>
      </c>
      <c r="S214" s="123">
        <v>0.12</v>
      </c>
      <c r="T214" s="51"/>
      <c r="U214" s="43"/>
      <c r="V214" s="43"/>
      <c r="W214" s="43"/>
    </row>
    <row r="215" spans="1:23" s="1" customFormat="1" ht="11.25" customHeight="1">
      <c r="A215" s="203" t="s">
        <v>27</v>
      </c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5"/>
      <c r="T215" s="11"/>
      <c r="U215" s="24"/>
      <c r="V215" s="24"/>
      <c r="W215" s="24"/>
    </row>
    <row r="216" spans="1:23" s="1" customFormat="1" ht="15.75" customHeight="1">
      <c r="A216" s="149" t="s">
        <v>127</v>
      </c>
      <c r="B216" s="244" t="s">
        <v>158</v>
      </c>
      <c r="C216" s="245"/>
      <c r="D216" s="143">
        <v>60</v>
      </c>
      <c r="E216" s="144">
        <f>0.94</f>
        <v>0.94</v>
      </c>
      <c r="F216" s="143">
        <v>2.106</v>
      </c>
      <c r="G216" s="143">
        <v>2.661</v>
      </c>
      <c r="H216" s="150">
        <f>E216*4+F216*9+G216*4</f>
        <v>33.358</v>
      </c>
      <c r="I216" s="143">
        <v>0.018</v>
      </c>
      <c r="J216" s="143">
        <v>0.034</v>
      </c>
      <c r="K216" s="143">
        <v>27.9</v>
      </c>
      <c r="L216" s="143">
        <v>0.002</v>
      </c>
      <c r="M216" s="151">
        <v>0.943</v>
      </c>
      <c r="N216" s="143">
        <v>26.09</v>
      </c>
      <c r="O216" s="144">
        <v>19.04</v>
      </c>
      <c r="P216" s="143">
        <v>0.224</v>
      </c>
      <c r="Q216" s="143">
        <v>0.014</v>
      </c>
      <c r="R216" s="144">
        <v>9</v>
      </c>
      <c r="S216" s="143">
        <v>0.367</v>
      </c>
      <c r="T216" s="11"/>
      <c r="U216" s="24"/>
      <c r="V216" s="24"/>
      <c r="W216" s="24"/>
    </row>
    <row r="217" spans="1:23" s="3" customFormat="1" ht="21.75" customHeight="1">
      <c r="A217" s="105">
        <v>24</v>
      </c>
      <c r="B217" s="233" t="s">
        <v>107</v>
      </c>
      <c r="C217" s="234"/>
      <c r="D217" s="74">
        <v>60</v>
      </c>
      <c r="E217" s="76">
        <v>0.3</v>
      </c>
      <c r="F217" s="76">
        <v>2</v>
      </c>
      <c r="G217" s="76">
        <v>1.6</v>
      </c>
      <c r="H217" s="76">
        <f aca="true" t="shared" si="54" ref="H217:H223">E217*4+F217*9+G217*4</f>
        <v>25.6</v>
      </c>
      <c r="I217" s="76">
        <v>0.06</v>
      </c>
      <c r="J217" s="76">
        <v>0.04</v>
      </c>
      <c r="K217" s="76">
        <v>12.4</v>
      </c>
      <c r="L217" s="74">
        <v>0.001</v>
      </c>
      <c r="M217" s="76">
        <v>1.5</v>
      </c>
      <c r="N217" s="76">
        <v>28.2</v>
      </c>
      <c r="O217" s="76">
        <v>32.3</v>
      </c>
      <c r="P217" s="76">
        <v>0.3</v>
      </c>
      <c r="Q217" s="76">
        <v>0.002</v>
      </c>
      <c r="R217" s="76">
        <v>18.6</v>
      </c>
      <c r="S217" s="76">
        <v>0.5</v>
      </c>
      <c r="T217" s="78"/>
      <c r="U217" s="79"/>
      <c r="V217" s="79"/>
      <c r="W217" s="79"/>
    </row>
    <row r="218" spans="1:23" s="3" customFormat="1" ht="12.75" customHeight="1">
      <c r="A218" s="105">
        <v>84</v>
      </c>
      <c r="B218" s="192" t="s">
        <v>113</v>
      </c>
      <c r="C218" s="193"/>
      <c r="D218" s="72">
        <v>200</v>
      </c>
      <c r="E218" s="76">
        <v>1.77</v>
      </c>
      <c r="F218" s="76">
        <v>2.65</v>
      </c>
      <c r="G218" s="76">
        <v>12.74</v>
      </c>
      <c r="H218" s="76">
        <f t="shared" si="54"/>
        <v>81.89</v>
      </c>
      <c r="I218" s="76">
        <v>0.05</v>
      </c>
      <c r="J218" s="76">
        <v>0.05</v>
      </c>
      <c r="K218" s="76">
        <v>19</v>
      </c>
      <c r="L218" s="76">
        <v>0.74</v>
      </c>
      <c r="M218" s="72">
        <v>0.1</v>
      </c>
      <c r="N218" s="76">
        <v>43.11</v>
      </c>
      <c r="O218" s="76">
        <v>48.75</v>
      </c>
      <c r="P218" s="73">
        <v>1.3</v>
      </c>
      <c r="Q218" s="77">
        <v>0.0032</v>
      </c>
      <c r="R218" s="76">
        <v>22.44</v>
      </c>
      <c r="S218" s="76">
        <v>0.8</v>
      </c>
      <c r="T218" s="78"/>
      <c r="U218" s="79"/>
      <c r="V218" s="79"/>
      <c r="W218" s="79"/>
    </row>
    <row r="219" spans="1:23" s="3" customFormat="1" ht="10.5" customHeight="1">
      <c r="A219" s="82">
        <v>261</v>
      </c>
      <c r="B219" s="192" t="s">
        <v>93</v>
      </c>
      <c r="C219" s="193"/>
      <c r="D219" s="74">
        <v>90</v>
      </c>
      <c r="E219" s="76">
        <f>14.4*D219/100</f>
        <v>12.96</v>
      </c>
      <c r="F219" s="73">
        <f>14.718*D219/100</f>
        <v>13.246199999999998</v>
      </c>
      <c r="G219" s="73">
        <f>6.368*D219/100</f>
        <v>5.7312</v>
      </c>
      <c r="H219" s="76">
        <f t="shared" si="54"/>
        <v>193.98059999999998</v>
      </c>
      <c r="I219" s="72">
        <f>0.238*D219/100</f>
        <v>0.21419999999999997</v>
      </c>
      <c r="J219" s="72">
        <f>1.594*D219/100</f>
        <v>1.4346</v>
      </c>
      <c r="K219" s="73">
        <f>4.516*D219/100</f>
        <v>4.0644</v>
      </c>
      <c r="L219" s="72">
        <f>5.873*D219/100</f>
        <v>5.2857</v>
      </c>
      <c r="M219" s="72">
        <f>1.4*D219/100</f>
        <v>1.2599999999999998</v>
      </c>
      <c r="N219" s="73">
        <f>37.96*D219/100</f>
        <v>34.164</v>
      </c>
      <c r="O219" s="73">
        <f>253.44*D219/100</f>
        <v>228.09599999999998</v>
      </c>
      <c r="P219" s="74">
        <f>3*D219/100</f>
        <v>2.7</v>
      </c>
      <c r="Q219" s="80">
        <f>0.005*D219/100</f>
        <v>0.0045000000000000005</v>
      </c>
      <c r="R219" s="73">
        <f>17.73*D219/100</f>
        <v>15.957</v>
      </c>
      <c r="S219" s="76">
        <f>5.12*D219/100</f>
        <v>4.6080000000000005</v>
      </c>
      <c r="T219" s="78"/>
      <c r="U219" s="79"/>
      <c r="V219" s="79"/>
      <c r="W219" s="79"/>
    </row>
    <row r="220" spans="1:23" s="3" customFormat="1" ht="11.25" customHeight="1">
      <c r="A220" s="105">
        <v>203</v>
      </c>
      <c r="B220" s="192" t="s">
        <v>114</v>
      </c>
      <c r="C220" s="193"/>
      <c r="D220" s="74">
        <v>150</v>
      </c>
      <c r="E220" s="76">
        <f>5.7*D220/150</f>
        <v>5.7</v>
      </c>
      <c r="F220" s="76">
        <f>3.43*D220/150</f>
        <v>3.43</v>
      </c>
      <c r="G220" s="76">
        <f>36.45*D220/150</f>
        <v>36.45</v>
      </c>
      <c r="H220" s="76">
        <f t="shared" si="54"/>
        <v>199.47000000000003</v>
      </c>
      <c r="I220" s="76">
        <f>0.09*D220/150</f>
        <v>0.09</v>
      </c>
      <c r="J220" s="76">
        <f>0.03*D220/150</f>
        <v>0.03</v>
      </c>
      <c r="K220" s="76">
        <v>0</v>
      </c>
      <c r="L220" s="77">
        <f>0.03*D220/150</f>
        <v>0.03</v>
      </c>
      <c r="M220" s="76">
        <f>1.25*D220/150</f>
        <v>1.25</v>
      </c>
      <c r="N220" s="76">
        <f>13.28*D220/150</f>
        <v>13.28</v>
      </c>
      <c r="O220" s="76">
        <f>46.21*D220/150</f>
        <v>46.21</v>
      </c>
      <c r="P220" s="76">
        <f>0.78*D220/150</f>
        <v>0.78</v>
      </c>
      <c r="Q220" s="77">
        <f>0.0015*D220/150</f>
        <v>0.0015</v>
      </c>
      <c r="R220" s="76">
        <f>8.47*D220/150</f>
        <v>8.47</v>
      </c>
      <c r="S220" s="76">
        <f>0.86*D220/150</f>
        <v>0.86</v>
      </c>
      <c r="T220" s="78"/>
      <c r="U220" s="79"/>
      <c r="V220" s="79"/>
      <c r="W220" s="79"/>
    </row>
    <row r="221" spans="1:23" s="3" customFormat="1" ht="11.25">
      <c r="A221" s="105">
        <v>348</v>
      </c>
      <c r="B221" s="192" t="s">
        <v>73</v>
      </c>
      <c r="C221" s="193"/>
      <c r="D221" s="74">
        <v>200</v>
      </c>
      <c r="E221" s="76">
        <v>0.22</v>
      </c>
      <c r="F221" s="72"/>
      <c r="G221" s="76">
        <v>19.43</v>
      </c>
      <c r="H221" s="76">
        <f>E221*4+F221*9+G221*4</f>
        <v>78.6</v>
      </c>
      <c r="I221" s="72">
        <v>0.01</v>
      </c>
      <c r="J221" s="72">
        <v>0.02</v>
      </c>
      <c r="K221" s="73">
        <v>25.2</v>
      </c>
      <c r="L221" s="72"/>
      <c r="M221" s="72">
        <v>0.2</v>
      </c>
      <c r="N221" s="73">
        <v>22.5</v>
      </c>
      <c r="O221" s="73">
        <v>7.7</v>
      </c>
      <c r="P221" s="73">
        <v>0.08</v>
      </c>
      <c r="Q221" s="77">
        <v>0.001</v>
      </c>
      <c r="R221" s="74">
        <v>3</v>
      </c>
      <c r="S221" s="76">
        <v>0.65</v>
      </c>
      <c r="T221" s="78"/>
      <c r="U221" s="79"/>
      <c r="V221" s="79"/>
      <c r="W221" s="79"/>
    </row>
    <row r="222" spans="1:23" s="3" customFormat="1" ht="11.25" customHeight="1">
      <c r="A222" s="83" t="s">
        <v>90</v>
      </c>
      <c r="B222" s="192" t="s">
        <v>48</v>
      </c>
      <c r="C222" s="193"/>
      <c r="D222" s="74">
        <v>40</v>
      </c>
      <c r="E222" s="76">
        <f>2.64*D222/40</f>
        <v>2.64</v>
      </c>
      <c r="F222" s="76">
        <f>0.48*D222/40</f>
        <v>0.48</v>
      </c>
      <c r="G222" s="76">
        <f>13.68*D222/40</f>
        <v>13.680000000000001</v>
      </c>
      <c r="H222" s="73">
        <f t="shared" si="54"/>
        <v>69.60000000000001</v>
      </c>
      <c r="I222" s="72">
        <f>0.08*D222/40</f>
        <v>0.08</v>
      </c>
      <c r="J222" s="76">
        <f>0.04*D222/40</f>
        <v>0.04</v>
      </c>
      <c r="K222" s="74">
        <v>0</v>
      </c>
      <c r="L222" s="74">
        <v>0</v>
      </c>
      <c r="M222" s="76">
        <f>2.4*D222/40</f>
        <v>2.4</v>
      </c>
      <c r="N222" s="76">
        <f>14*D222/40</f>
        <v>14</v>
      </c>
      <c r="O222" s="76">
        <f>63.2*D222/40</f>
        <v>63.2</v>
      </c>
      <c r="P222" s="76">
        <f>1.2*D222/40</f>
        <v>1.2</v>
      </c>
      <c r="Q222" s="77">
        <f>0.001*D222/40</f>
        <v>0.001</v>
      </c>
      <c r="R222" s="76">
        <f>9.4*D222/40</f>
        <v>9.4</v>
      </c>
      <c r="S222" s="72">
        <f>0.78*D222/40</f>
        <v>0.78</v>
      </c>
      <c r="T222" s="30"/>
      <c r="U222" s="31"/>
      <c r="V222" s="31"/>
      <c r="W222" s="31"/>
    </row>
    <row r="223" spans="1:23" s="3" customFormat="1" ht="11.25" customHeight="1">
      <c r="A223" s="82" t="s">
        <v>90</v>
      </c>
      <c r="B223" s="192" t="s">
        <v>62</v>
      </c>
      <c r="C223" s="193"/>
      <c r="D223" s="74">
        <v>30</v>
      </c>
      <c r="E223" s="76">
        <f>1.52*D223/30</f>
        <v>1.52</v>
      </c>
      <c r="F223" s="77">
        <f>0.16*D223/30</f>
        <v>0.16</v>
      </c>
      <c r="G223" s="77">
        <f>9.84*D223/30</f>
        <v>9.84</v>
      </c>
      <c r="H223" s="77">
        <f t="shared" si="54"/>
        <v>46.879999999999995</v>
      </c>
      <c r="I223" s="77">
        <f>0.02*D223/30</f>
        <v>0.02</v>
      </c>
      <c r="J223" s="77">
        <f>0.01*D223/30</f>
        <v>0.01</v>
      </c>
      <c r="K223" s="77">
        <f>0.44*D223/30</f>
        <v>0.44</v>
      </c>
      <c r="L223" s="77">
        <v>0</v>
      </c>
      <c r="M223" s="77">
        <f>0.7*D223/30</f>
        <v>0.7</v>
      </c>
      <c r="N223" s="77">
        <f>4*D223/30</f>
        <v>4</v>
      </c>
      <c r="O223" s="77">
        <f>13*D223/30</f>
        <v>13</v>
      </c>
      <c r="P223" s="77">
        <f>0.008*D223/30</f>
        <v>0.008</v>
      </c>
      <c r="Q223" s="77">
        <f>0.001*D223/30</f>
        <v>0.001</v>
      </c>
      <c r="R223" s="77">
        <v>0</v>
      </c>
      <c r="S223" s="77">
        <f>0.22*D223/30</f>
        <v>0.22</v>
      </c>
      <c r="T223" s="78"/>
      <c r="U223" s="79"/>
      <c r="V223" s="79"/>
      <c r="W223" s="79"/>
    </row>
    <row r="224" spans="1:23" s="3" customFormat="1" ht="11.25" customHeight="1">
      <c r="A224" s="66" t="s">
        <v>28</v>
      </c>
      <c r="B224" s="67"/>
      <c r="C224" s="67"/>
      <c r="D224" s="130">
        <f>SUM(D217:D223)</f>
        <v>770</v>
      </c>
      <c r="E224" s="41">
        <f>SUM(E217:E223)</f>
        <v>25.11</v>
      </c>
      <c r="F224" s="40">
        <f>SUM(F217:F223)</f>
        <v>21.9662</v>
      </c>
      <c r="G224" s="40">
        <f>SUM(G217:G223)</f>
        <v>99.47120000000001</v>
      </c>
      <c r="H224" s="40">
        <f>SUM(H217:H223)</f>
        <v>696.0206000000001</v>
      </c>
      <c r="I224" s="41">
        <f aca="true" t="shared" si="55" ref="I224:S224">SUM(I217:I223)</f>
        <v>0.5242</v>
      </c>
      <c r="J224" s="41">
        <f t="shared" si="55"/>
        <v>1.6246000000000003</v>
      </c>
      <c r="K224" s="40">
        <f t="shared" si="55"/>
        <v>61.1044</v>
      </c>
      <c r="L224" s="41">
        <f t="shared" si="55"/>
        <v>6.0567</v>
      </c>
      <c r="M224" s="45">
        <f t="shared" si="55"/>
        <v>7.409999999999999</v>
      </c>
      <c r="N224" s="40">
        <f t="shared" si="55"/>
        <v>159.25400000000002</v>
      </c>
      <c r="O224" s="40">
        <f t="shared" si="55"/>
        <v>439.2559999999999</v>
      </c>
      <c r="P224" s="41">
        <f t="shared" si="55"/>
        <v>6.368000000000001</v>
      </c>
      <c r="Q224" s="41">
        <f t="shared" si="55"/>
        <v>0.0142</v>
      </c>
      <c r="R224" s="40">
        <f t="shared" si="55"/>
        <v>77.86700000000002</v>
      </c>
      <c r="S224" s="41">
        <f t="shared" si="55"/>
        <v>8.418000000000001</v>
      </c>
      <c r="T224" s="40"/>
      <c r="U224" s="43"/>
      <c r="V224" s="43"/>
      <c r="W224" s="43"/>
    </row>
    <row r="225" spans="1:23" s="3" customFormat="1" ht="11.25" customHeight="1">
      <c r="A225" s="251" t="s">
        <v>77</v>
      </c>
      <c r="B225" s="230"/>
      <c r="C225" s="230"/>
      <c r="D225" s="231"/>
      <c r="E225" s="102">
        <f aca="true" t="shared" si="56" ref="E225:S225">E224/E234</f>
        <v>0.3261038961038961</v>
      </c>
      <c r="F225" s="46">
        <f t="shared" si="56"/>
        <v>0.27805316455696205</v>
      </c>
      <c r="G225" s="46">
        <f t="shared" si="56"/>
        <v>0.29692895522388063</v>
      </c>
      <c r="H225" s="46">
        <f t="shared" si="56"/>
        <v>0.29617897872340426</v>
      </c>
      <c r="I225" s="46">
        <f t="shared" si="56"/>
        <v>0.43683333333333335</v>
      </c>
      <c r="J225" s="46">
        <f t="shared" si="56"/>
        <v>1.1604285714285716</v>
      </c>
      <c r="K225" s="46">
        <f t="shared" si="56"/>
        <v>1.0184066666666667</v>
      </c>
      <c r="L225" s="46">
        <f t="shared" si="56"/>
        <v>8.652428571428572</v>
      </c>
      <c r="M225" s="46">
        <f t="shared" si="56"/>
        <v>0.7409999999999999</v>
      </c>
      <c r="N225" s="46">
        <f t="shared" si="56"/>
        <v>0.14477636363636365</v>
      </c>
      <c r="O225" s="46">
        <f t="shared" si="56"/>
        <v>0.39932363636363627</v>
      </c>
      <c r="P225" s="46">
        <f t="shared" si="56"/>
        <v>0.6368000000000001</v>
      </c>
      <c r="Q225" s="46">
        <f t="shared" si="56"/>
        <v>0.142</v>
      </c>
      <c r="R225" s="46">
        <f t="shared" si="56"/>
        <v>0.3114680000000001</v>
      </c>
      <c r="S225" s="46">
        <f t="shared" si="56"/>
        <v>0.7015000000000001</v>
      </c>
      <c r="T225" s="51"/>
      <c r="U225" s="43"/>
      <c r="V225" s="43"/>
      <c r="W225" s="43"/>
    </row>
    <row r="226" spans="1:23" s="75" customFormat="1" ht="11.25" customHeight="1">
      <c r="A226" s="131" t="s">
        <v>109</v>
      </c>
      <c r="B226" s="132"/>
      <c r="C226" s="132"/>
      <c r="D226" s="132"/>
      <c r="E226" s="45">
        <f>E216+E218+E219+E220+E221+E222+E223</f>
        <v>25.75</v>
      </c>
      <c r="F226" s="45">
        <f aca="true" t="shared" si="57" ref="F226:S226">F216+F218+F219+F220+F221+F222+F223</f>
        <v>22.0722</v>
      </c>
      <c r="G226" s="45">
        <f t="shared" si="57"/>
        <v>100.53220000000002</v>
      </c>
      <c r="H226" s="45">
        <f t="shared" si="57"/>
        <v>703.7786</v>
      </c>
      <c r="I226" s="45">
        <f t="shared" si="57"/>
        <v>0.4822</v>
      </c>
      <c r="J226" s="45">
        <f t="shared" si="57"/>
        <v>1.6186000000000003</v>
      </c>
      <c r="K226" s="45">
        <f t="shared" si="57"/>
        <v>76.6044</v>
      </c>
      <c r="L226" s="45">
        <f t="shared" si="57"/>
        <v>6.0577000000000005</v>
      </c>
      <c r="M226" s="45">
        <f t="shared" si="57"/>
        <v>6.853000000000001</v>
      </c>
      <c r="N226" s="45">
        <f t="shared" si="57"/>
        <v>157.144</v>
      </c>
      <c r="O226" s="45">
        <f t="shared" si="57"/>
        <v>425.9959999999999</v>
      </c>
      <c r="P226" s="45">
        <f t="shared" si="57"/>
        <v>6.292000000000001</v>
      </c>
      <c r="Q226" s="45">
        <f t="shared" si="57"/>
        <v>0.026200000000000005</v>
      </c>
      <c r="R226" s="45">
        <f t="shared" si="57"/>
        <v>68.26700000000001</v>
      </c>
      <c r="S226" s="45">
        <f t="shared" si="57"/>
        <v>8.285000000000002</v>
      </c>
      <c r="T226" s="51"/>
      <c r="U226" s="43"/>
      <c r="V226" s="43"/>
      <c r="W226" s="43"/>
    </row>
    <row r="227" spans="1:23" s="3" customFormat="1" ht="11.25" customHeight="1">
      <c r="A227" s="237" t="s">
        <v>29</v>
      </c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5"/>
      <c r="T227" s="11"/>
      <c r="U227" s="24"/>
      <c r="V227" s="24"/>
      <c r="W227" s="24"/>
    </row>
    <row r="228" spans="1:23" s="75" customFormat="1" ht="11.25" customHeight="1">
      <c r="A228" s="105">
        <v>341</v>
      </c>
      <c r="B228" s="194" t="s">
        <v>136</v>
      </c>
      <c r="C228" s="195"/>
      <c r="D228" s="74">
        <v>60</v>
      </c>
      <c r="E228" s="76">
        <f>0.39*D228/60</f>
        <v>0.39</v>
      </c>
      <c r="F228" s="76">
        <f>0.18*D228/60</f>
        <v>0.18</v>
      </c>
      <c r="G228" s="76">
        <f>5.37*D228/60</f>
        <v>5.37</v>
      </c>
      <c r="H228" s="76">
        <f>E228*4+F228*9+G228*4</f>
        <v>24.66</v>
      </c>
      <c r="I228" s="77">
        <f>0.02*D228/60</f>
        <v>0.02</v>
      </c>
      <c r="J228" s="76">
        <f>0.02*D228/60</f>
        <v>0.02</v>
      </c>
      <c r="K228" s="76">
        <f>22.95*D228/60</f>
        <v>22.95</v>
      </c>
      <c r="L228" s="77">
        <f>0.02*D228/60</f>
        <v>0.02</v>
      </c>
      <c r="M228" s="72">
        <f>0.6*D228/60</f>
        <v>0.6</v>
      </c>
      <c r="N228" s="73">
        <f>15*D228/60</f>
        <v>15</v>
      </c>
      <c r="O228" s="76">
        <f>10.2*D228/60</f>
        <v>10.2</v>
      </c>
      <c r="P228" s="76">
        <f>0.13*D228/60</f>
        <v>0.13</v>
      </c>
      <c r="Q228" s="77">
        <f>0.001*D228/60</f>
        <v>0.001</v>
      </c>
      <c r="R228" s="76">
        <f>6.6*D228/60</f>
        <v>6.6</v>
      </c>
      <c r="S228" s="76">
        <f>0.75*D228/60</f>
        <v>0.75</v>
      </c>
      <c r="T228" s="11"/>
      <c r="U228" s="24"/>
      <c r="V228" s="24"/>
      <c r="W228" s="24"/>
    </row>
    <row r="229" spans="1:23" s="3" customFormat="1" ht="11.25" customHeight="1">
      <c r="A229" s="133" t="s">
        <v>90</v>
      </c>
      <c r="B229" s="192" t="s">
        <v>156</v>
      </c>
      <c r="C229" s="193"/>
      <c r="D229" s="74">
        <v>75</v>
      </c>
      <c r="E229" s="76">
        <v>4.13</v>
      </c>
      <c r="F229" s="76">
        <v>3.74</v>
      </c>
      <c r="G229" s="76">
        <v>44.42</v>
      </c>
      <c r="H229" s="76">
        <f>E229*4+F229*9+G229*4</f>
        <v>227.86</v>
      </c>
      <c r="I229" s="76">
        <v>0.05</v>
      </c>
      <c r="J229" s="76">
        <v>0.02</v>
      </c>
      <c r="K229" s="73">
        <v>0.7</v>
      </c>
      <c r="L229" s="76">
        <v>0.01</v>
      </c>
      <c r="M229" s="72">
        <v>0</v>
      </c>
      <c r="N229" s="73">
        <v>16.05</v>
      </c>
      <c r="O229" s="76">
        <v>85.43</v>
      </c>
      <c r="P229" s="76">
        <v>0.75</v>
      </c>
      <c r="Q229" s="74">
        <v>0</v>
      </c>
      <c r="R229" s="76">
        <v>15.86</v>
      </c>
      <c r="S229" s="76">
        <v>0.44</v>
      </c>
      <c r="T229" s="78"/>
      <c r="U229" s="226" t="s">
        <v>101</v>
      </c>
      <c r="V229" s="226" t="s">
        <v>102</v>
      </c>
      <c r="W229" s="226" t="s">
        <v>103</v>
      </c>
    </row>
    <row r="230" spans="1:23" s="75" customFormat="1" ht="14.25" customHeight="1">
      <c r="A230" s="105">
        <v>350</v>
      </c>
      <c r="B230" s="192" t="s">
        <v>157</v>
      </c>
      <c r="C230" s="193"/>
      <c r="D230" s="74">
        <v>200</v>
      </c>
      <c r="E230" s="76"/>
      <c r="F230" s="72"/>
      <c r="G230" s="76">
        <v>18</v>
      </c>
      <c r="H230" s="76">
        <f>E230*4+F230*9+G230*4</f>
        <v>72</v>
      </c>
      <c r="I230" s="76"/>
      <c r="J230" s="76"/>
      <c r="K230" s="76">
        <v>0.9</v>
      </c>
      <c r="L230" s="73"/>
      <c r="M230" s="76"/>
      <c r="N230" s="76">
        <v>0.35</v>
      </c>
      <c r="O230" s="76"/>
      <c r="P230" s="76"/>
      <c r="Q230" s="77"/>
      <c r="R230" s="76"/>
      <c r="S230" s="76">
        <v>0.4</v>
      </c>
      <c r="T230" s="78"/>
      <c r="U230" s="226"/>
      <c r="V230" s="226"/>
      <c r="W230" s="226"/>
    </row>
    <row r="231" spans="1:23" s="1" customFormat="1" ht="11.25" customHeight="1">
      <c r="A231" s="66" t="s">
        <v>30</v>
      </c>
      <c r="B231" s="67"/>
      <c r="C231" s="67"/>
      <c r="D231" s="130">
        <f>SUM(D228:D230)</f>
        <v>335</v>
      </c>
      <c r="E231" s="134">
        <f aca="true" t="shared" si="58" ref="E231:S231">SUM(E228:E230)</f>
        <v>4.52</v>
      </c>
      <c r="F231" s="134">
        <f t="shared" si="58"/>
        <v>3.9200000000000004</v>
      </c>
      <c r="G231" s="134">
        <f t="shared" si="58"/>
        <v>67.78999999999999</v>
      </c>
      <c r="H231" s="134">
        <f t="shared" si="58"/>
        <v>324.52</v>
      </c>
      <c r="I231" s="134">
        <f t="shared" si="58"/>
        <v>0.07</v>
      </c>
      <c r="J231" s="134">
        <f t="shared" si="58"/>
        <v>0.04</v>
      </c>
      <c r="K231" s="134">
        <f t="shared" si="58"/>
        <v>24.549999999999997</v>
      </c>
      <c r="L231" s="134">
        <f t="shared" si="58"/>
        <v>0.03</v>
      </c>
      <c r="M231" s="134">
        <f t="shared" si="58"/>
        <v>0.6</v>
      </c>
      <c r="N231" s="134">
        <f t="shared" si="58"/>
        <v>31.400000000000002</v>
      </c>
      <c r="O231" s="134">
        <f t="shared" si="58"/>
        <v>95.63000000000001</v>
      </c>
      <c r="P231" s="134">
        <f t="shared" si="58"/>
        <v>0.88</v>
      </c>
      <c r="Q231" s="134">
        <f t="shared" si="58"/>
        <v>0.001</v>
      </c>
      <c r="R231" s="134">
        <f t="shared" si="58"/>
        <v>22.46</v>
      </c>
      <c r="S231" s="134">
        <f t="shared" si="58"/>
        <v>1.5899999999999999</v>
      </c>
      <c r="T231" s="40"/>
      <c r="U231" s="226"/>
      <c r="V231" s="226"/>
      <c r="W231" s="226"/>
    </row>
    <row r="232" spans="1:23" s="1" customFormat="1" ht="11.25" customHeight="1">
      <c r="A232" s="229" t="s">
        <v>77</v>
      </c>
      <c r="B232" s="230"/>
      <c r="C232" s="230"/>
      <c r="D232" s="231"/>
      <c r="E232" s="81">
        <f>E231/E234</f>
        <v>0.0587012987012987</v>
      </c>
      <c r="F232" s="46">
        <f aca="true" t="shared" si="59" ref="F232:S232">F231/F234</f>
        <v>0.04962025316455697</v>
      </c>
      <c r="G232" s="46">
        <f t="shared" si="59"/>
        <v>0.20235820895522386</v>
      </c>
      <c r="H232" s="46">
        <f t="shared" si="59"/>
        <v>0.1380936170212766</v>
      </c>
      <c r="I232" s="46">
        <f t="shared" si="59"/>
        <v>0.05833333333333334</v>
      </c>
      <c r="J232" s="46">
        <f t="shared" si="59"/>
        <v>0.028571428571428574</v>
      </c>
      <c r="K232" s="46">
        <f t="shared" si="59"/>
        <v>0.4091666666666666</v>
      </c>
      <c r="L232" s="46">
        <f t="shared" si="59"/>
        <v>0.04285714285714286</v>
      </c>
      <c r="M232" s="46">
        <f t="shared" si="59"/>
        <v>0.06</v>
      </c>
      <c r="N232" s="46">
        <f t="shared" si="59"/>
        <v>0.028545454545454547</v>
      </c>
      <c r="O232" s="46">
        <f t="shared" si="59"/>
        <v>0.08693636363636364</v>
      </c>
      <c r="P232" s="46">
        <f t="shared" si="59"/>
        <v>0.088</v>
      </c>
      <c r="Q232" s="46">
        <f t="shared" si="59"/>
        <v>0.01</v>
      </c>
      <c r="R232" s="46">
        <f t="shared" si="59"/>
        <v>0.08984</v>
      </c>
      <c r="S232" s="46">
        <f t="shared" si="59"/>
        <v>0.13249999999999998</v>
      </c>
      <c r="T232" s="51"/>
      <c r="U232" s="85"/>
      <c r="V232" s="85"/>
      <c r="W232" s="85"/>
    </row>
    <row r="233" spans="1:23" s="1" customFormat="1" ht="11.25" customHeight="1">
      <c r="A233" s="219" t="s">
        <v>76</v>
      </c>
      <c r="B233" s="220"/>
      <c r="C233" s="220"/>
      <c r="D233" s="221"/>
      <c r="E233" s="41">
        <f aca="true" t="shared" si="60" ref="E233:S233">SUM(E211,E224,E231)</f>
        <v>47.16666666666666</v>
      </c>
      <c r="F233" s="40">
        <f t="shared" si="60"/>
        <v>48.479533333333336</v>
      </c>
      <c r="G233" s="40">
        <f t="shared" si="60"/>
        <v>260.4512</v>
      </c>
      <c r="H233" s="40">
        <f t="shared" si="60"/>
        <v>1666.7872666666667</v>
      </c>
      <c r="I233" s="41">
        <f t="shared" si="60"/>
        <v>0.8488666666666667</v>
      </c>
      <c r="J233" s="41">
        <f t="shared" si="60"/>
        <v>2.087933333333334</v>
      </c>
      <c r="K233" s="40">
        <f t="shared" si="60"/>
        <v>101.03106666666666</v>
      </c>
      <c r="L233" s="41">
        <f t="shared" si="60"/>
        <v>6.2197000000000005</v>
      </c>
      <c r="M233" s="41">
        <f t="shared" si="60"/>
        <v>10.603333333333333</v>
      </c>
      <c r="N233" s="40">
        <f t="shared" si="60"/>
        <v>655.9873333333334</v>
      </c>
      <c r="O233" s="40">
        <f t="shared" si="60"/>
        <v>951.8193333333332</v>
      </c>
      <c r="P233" s="41">
        <f t="shared" si="60"/>
        <v>9.188666666666668</v>
      </c>
      <c r="Q233" s="42">
        <f t="shared" si="60"/>
        <v>0.06853333333333333</v>
      </c>
      <c r="R233" s="41">
        <f t="shared" si="60"/>
        <v>188.12700000000004</v>
      </c>
      <c r="S233" s="41">
        <f t="shared" si="60"/>
        <v>14.181333333333335</v>
      </c>
      <c r="T233" s="44"/>
      <c r="U233" s="81">
        <f>AVERAGE(H212,H253,H289,H328,H365)</f>
        <v>0.25749390070921985</v>
      </c>
      <c r="V233" s="81">
        <f>AVERAGE(H225,H264,H299,H339,H376)</f>
        <v>0.30699681702127657</v>
      </c>
      <c r="W233" s="81">
        <f>AVERAGE(H232,H270,H306,H344,H383)</f>
        <v>0.13006553191489362</v>
      </c>
    </row>
    <row r="234" spans="1:23" s="1" customFormat="1" ht="11.25" customHeight="1">
      <c r="A234" s="219" t="s">
        <v>78</v>
      </c>
      <c r="B234" s="220"/>
      <c r="C234" s="220"/>
      <c r="D234" s="221"/>
      <c r="E234" s="76">
        <v>77</v>
      </c>
      <c r="F234" s="73">
        <v>79</v>
      </c>
      <c r="G234" s="73">
        <v>335</v>
      </c>
      <c r="H234" s="73">
        <v>2350</v>
      </c>
      <c r="I234" s="76">
        <v>1.2</v>
      </c>
      <c r="J234" s="76">
        <v>1.4</v>
      </c>
      <c r="K234" s="74">
        <v>60</v>
      </c>
      <c r="L234" s="76">
        <v>0.7</v>
      </c>
      <c r="M234" s="74">
        <v>10</v>
      </c>
      <c r="N234" s="74">
        <v>1100</v>
      </c>
      <c r="O234" s="74">
        <v>1100</v>
      </c>
      <c r="P234" s="74">
        <v>10</v>
      </c>
      <c r="Q234" s="73">
        <v>0.1</v>
      </c>
      <c r="R234" s="74">
        <v>250</v>
      </c>
      <c r="S234" s="76">
        <v>12</v>
      </c>
      <c r="T234" s="78"/>
      <c r="U234" s="79"/>
      <c r="V234" s="79"/>
      <c r="W234" s="79"/>
    </row>
    <row r="235" spans="1:23" s="1" customFormat="1" ht="11.25" customHeight="1">
      <c r="A235" s="229" t="s">
        <v>77</v>
      </c>
      <c r="B235" s="230"/>
      <c r="C235" s="230"/>
      <c r="D235" s="231"/>
      <c r="E235" s="81">
        <f aca="true" t="shared" si="61" ref="E235:S235">E233/E234</f>
        <v>0.6125541125541124</v>
      </c>
      <c r="F235" s="46">
        <f t="shared" si="61"/>
        <v>0.6136649789029536</v>
      </c>
      <c r="G235" s="46">
        <f t="shared" si="61"/>
        <v>0.7774662686567163</v>
      </c>
      <c r="H235" s="46">
        <f t="shared" si="61"/>
        <v>0.7092711773049646</v>
      </c>
      <c r="I235" s="46">
        <f t="shared" si="61"/>
        <v>0.707388888888889</v>
      </c>
      <c r="J235" s="46">
        <f t="shared" si="61"/>
        <v>1.491380952380953</v>
      </c>
      <c r="K235" s="46">
        <f t="shared" si="61"/>
        <v>1.683851111111111</v>
      </c>
      <c r="L235" s="47">
        <f>L233/L234</f>
        <v>8.885285714285715</v>
      </c>
      <c r="M235" s="46">
        <f t="shared" si="61"/>
        <v>1.0603333333333333</v>
      </c>
      <c r="N235" s="46">
        <f t="shared" si="61"/>
        <v>0.5963521212121212</v>
      </c>
      <c r="O235" s="46">
        <f t="shared" si="61"/>
        <v>0.865290303030303</v>
      </c>
      <c r="P235" s="46">
        <f t="shared" si="61"/>
        <v>0.9188666666666668</v>
      </c>
      <c r="Q235" s="47">
        <f t="shared" si="61"/>
        <v>0.6853333333333333</v>
      </c>
      <c r="R235" s="46">
        <f t="shared" si="61"/>
        <v>0.7525080000000002</v>
      </c>
      <c r="S235" s="47">
        <f t="shared" si="61"/>
        <v>1.1817777777777778</v>
      </c>
      <c r="T235" s="48"/>
      <c r="U235" s="49"/>
      <c r="V235" s="49"/>
      <c r="W235" s="49"/>
    </row>
    <row r="236" spans="1:23" s="1" customFormat="1" ht="11.25" customHeight="1">
      <c r="A236" s="182" t="s">
        <v>171</v>
      </c>
      <c r="B236" s="181"/>
      <c r="C236" s="181"/>
      <c r="D236" s="181"/>
      <c r="E236" s="174"/>
      <c r="F236" s="175"/>
      <c r="G236" s="175"/>
      <c r="H236" s="175"/>
      <c r="I236" s="175"/>
      <c r="J236" s="175"/>
      <c r="K236" s="175"/>
      <c r="L236" s="176"/>
      <c r="M236" s="175"/>
      <c r="N236" s="175"/>
      <c r="O236" s="175"/>
      <c r="P236" s="175"/>
      <c r="Q236" s="176"/>
      <c r="R236" s="175"/>
      <c r="S236" s="176"/>
      <c r="T236" s="48"/>
      <c r="U236" s="49"/>
      <c r="V236" s="49"/>
      <c r="W236" s="49"/>
    </row>
    <row r="237" spans="1:23" s="1" customFormat="1" ht="11.25" customHeight="1">
      <c r="A237" s="62"/>
      <c r="B237" s="59"/>
      <c r="C237" s="59"/>
      <c r="D237" s="75"/>
      <c r="E237" s="36"/>
      <c r="F237" s="75"/>
      <c r="G237" s="75"/>
      <c r="H237" s="75"/>
      <c r="I237" s="75"/>
      <c r="J237" s="75"/>
      <c r="K237" s="75"/>
      <c r="L237" s="223" t="s">
        <v>89</v>
      </c>
      <c r="M237" s="223"/>
      <c r="N237" s="223"/>
      <c r="O237" s="223"/>
      <c r="P237" s="223"/>
      <c r="Q237" s="223"/>
      <c r="R237" s="223"/>
      <c r="S237" s="223"/>
      <c r="T237" s="12"/>
      <c r="U237" s="19"/>
      <c r="V237" s="19"/>
      <c r="W237" s="19"/>
    </row>
    <row r="238" spans="1:23" s="1" customFormat="1" ht="11.25" customHeight="1">
      <c r="A238" s="236" t="s">
        <v>41</v>
      </c>
      <c r="B238" s="236"/>
      <c r="C238" s="236"/>
      <c r="D238" s="236"/>
      <c r="E238" s="236"/>
      <c r="F238" s="236"/>
      <c r="G238" s="236"/>
      <c r="H238" s="236"/>
      <c r="I238" s="236"/>
      <c r="J238" s="236"/>
      <c r="K238" s="236"/>
      <c r="L238" s="236"/>
      <c r="M238" s="236"/>
      <c r="N238" s="236"/>
      <c r="O238" s="236"/>
      <c r="P238" s="236"/>
      <c r="Q238" s="236"/>
      <c r="R238" s="236"/>
      <c r="S238" s="236"/>
      <c r="T238" s="13"/>
      <c r="U238" s="25"/>
      <c r="V238" s="25"/>
      <c r="W238" s="25"/>
    </row>
    <row r="239" spans="1:23" s="1" customFormat="1" ht="11.25" customHeight="1">
      <c r="A239" s="63" t="s">
        <v>66</v>
      </c>
      <c r="B239" s="59"/>
      <c r="C239" s="59"/>
      <c r="D239" s="2"/>
      <c r="E239" s="36"/>
      <c r="F239" s="224" t="s">
        <v>32</v>
      </c>
      <c r="G239" s="224"/>
      <c r="H239" s="224"/>
      <c r="I239" s="75"/>
      <c r="J239" s="75"/>
      <c r="K239" s="222" t="s">
        <v>1</v>
      </c>
      <c r="L239" s="222"/>
      <c r="M239" s="217" t="s">
        <v>85</v>
      </c>
      <c r="N239" s="217"/>
      <c r="O239" s="217"/>
      <c r="P239" s="217"/>
      <c r="Q239" s="75"/>
      <c r="R239" s="75"/>
      <c r="S239" s="75"/>
      <c r="T239" s="14"/>
      <c r="U239" s="20"/>
      <c r="V239" s="20"/>
      <c r="W239" s="20"/>
    </row>
    <row r="240" spans="1:23" s="1" customFormat="1" ht="11.25" customHeight="1">
      <c r="A240" s="59"/>
      <c r="B240" s="59"/>
      <c r="C240" s="59"/>
      <c r="D240" s="227" t="s">
        <v>2</v>
      </c>
      <c r="E240" s="227"/>
      <c r="F240" s="7">
        <v>2</v>
      </c>
      <c r="G240" s="75"/>
      <c r="H240" s="2"/>
      <c r="I240" s="2"/>
      <c r="J240" s="2"/>
      <c r="K240" s="227" t="s">
        <v>3</v>
      </c>
      <c r="L240" s="227"/>
      <c r="M240" s="228" t="s">
        <v>68</v>
      </c>
      <c r="N240" s="228"/>
      <c r="O240" s="228"/>
      <c r="P240" s="228"/>
      <c r="Q240" s="228"/>
      <c r="R240" s="228"/>
      <c r="S240" s="228"/>
      <c r="T240" s="15"/>
      <c r="U240" s="21"/>
      <c r="V240" s="21"/>
      <c r="W240" s="21"/>
    </row>
    <row r="241" spans="1:23" s="1" customFormat="1" ht="21.75" customHeight="1">
      <c r="A241" s="209" t="s">
        <v>4</v>
      </c>
      <c r="B241" s="211" t="s">
        <v>5</v>
      </c>
      <c r="C241" s="212"/>
      <c r="D241" s="209" t="s">
        <v>6</v>
      </c>
      <c r="E241" s="206" t="s">
        <v>7</v>
      </c>
      <c r="F241" s="207"/>
      <c r="G241" s="208"/>
      <c r="H241" s="209" t="s">
        <v>8</v>
      </c>
      <c r="I241" s="206" t="s">
        <v>9</v>
      </c>
      <c r="J241" s="207"/>
      <c r="K241" s="207"/>
      <c r="L241" s="207"/>
      <c r="M241" s="208"/>
      <c r="N241" s="206" t="s">
        <v>10</v>
      </c>
      <c r="O241" s="207"/>
      <c r="P241" s="207"/>
      <c r="Q241" s="207"/>
      <c r="R241" s="207"/>
      <c r="S241" s="208"/>
      <c r="T241" s="9"/>
      <c r="U241" s="22"/>
      <c r="V241" s="22"/>
      <c r="W241" s="22"/>
    </row>
    <row r="242" spans="1:23" s="1" customFormat="1" ht="21" customHeight="1">
      <c r="A242" s="210"/>
      <c r="B242" s="213"/>
      <c r="C242" s="214"/>
      <c r="D242" s="210"/>
      <c r="E242" s="96" t="s">
        <v>11</v>
      </c>
      <c r="F242" s="108" t="s">
        <v>12</v>
      </c>
      <c r="G242" s="108" t="s">
        <v>13</v>
      </c>
      <c r="H242" s="210"/>
      <c r="I242" s="108" t="s">
        <v>14</v>
      </c>
      <c r="J242" s="108" t="s">
        <v>69</v>
      </c>
      <c r="K242" s="108" t="s">
        <v>15</v>
      </c>
      <c r="L242" s="108" t="s">
        <v>16</v>
      </c>
      <c r="M242" s="108" t="s">
        <v>17</v>
      </c>
      <c r="N242" s="108" t="s">
        <v>18</v>
      </c>
      <c r="O242" s="108" t="s">
        <v>19</v>
      </c>
      <c r="P242" s="108" t="s">
        <v>70</v>
      </c>
      <c r="Q242" s="108" t="s">
        <v>71</v>
      </c>
      <c r="R242" s="108" t="s">
        <v>20</v>
      </c>
      <c r="S242" s="108" t="s">
        <v>21</v>
      </c>
      <c r="T242" s="9"/>
      <c r="U242" s="22"/>
      <c r="V242" s="22"/>
      <c r="W242" s="22"/>
    </row>
    <row r="243" spans="1:23" s="1" customFormat="1" ht="11.25" customHeight="1">
      <c r="A243" s="105">
        <v>1</v>
      </c>
      <c r="B243" s="198">
        <v>2</v>
      </c>
      <c r="C243" s="199"/>
      <c r="D243" s="39">
        <v>3</v>
      </c>
      <c r="E243" s="97">
        <v>4</v>
      </c>
      <c r="F243" s="39">
        <v>5</v>
      </c>
      <c r="G243" s="39">
        <v>6</v>
      </c>
      <c r="H243" s="39">
        <v>7</v>
      </c>
      <c r="I243" s="39">
        <v>8</v>
      </c>
      <c r="J243" s="39">
        <v>9</v>
      </c>
      <c r="K243" s="39">
        <v>10</v>
      </c>
      <c r="L243" s="39">
        <v>11</v>
      </c>
      <c r="M243" s="39">
        <v>12</v>
      </c>
      <c r="N243" s="39">
        <v>13</v>
      </c>
      <c r="O243" s="39">
        <v>14</v>
      </c>
      <c r="P243" s="39">
        <v>15</v>
      </c>
      <c r="Q243" s="39">
        <v>16</v>
      </c>
      <c r="R243" s="39">
        <v>17</v>
      </c>
      <c r="S243" s="39">
        <v>18</v>
      </c>
      <c r="T243" s="10"/>
      <c r="U243" s="23"/>
      <c r="V243" s="23"/>
      <c r="W243" s="23"/>
    </row>
    <row r="244" spans="1:23" s="1" customFormat="1" ht="11.25" customHeight="1">
      <c r="A244" s="203" t="s">
        <v>22</v>
      </c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5"/>
      <c r="T244" s="11"/>
      <c r="U244" s="24"/>
      <c r="V244" s="24"/>
      <c r="W244" s="24"/>
    </row>
    <row r="245" spans="1:23" s="1" customFormat="1" ht="24" customHeight="1">
      <c r="A245" s="147" t="s">
        <v>159</v>
      </c>
      <c r="B245" s="244" t="s">
        <v>160</v>
      </c>
      <c r="C245" s="245"/>
      <c r="D245" s="143">
        <v>40</v>
      </c>
      <c r="E245" s="144">
        <v>0.32</v>
      </c>
      <c r="F245" s="143">
        <v>0.04</v>
      </c>
      <c r="G245" s="143">
        <v>0.68</v>
      </c>
      <c r="H245" s="148">
        <f aca="true" t="shared" si="62" ref="H245:H251">E245*4+F245*9+G245*4</f>
        <v>4.36</v>
      </c>
      <c r="I245" s="143">
        <v>0.008</v>
      </c>
      <c r="J245" s="143">
        <v>0.008</v>
      </c>
      <c r="K245" s="144">
        <v>2</v>
      </c>
      <c r="L245" s="143">
        <v>0.002</v>
      </c>
      <c r="M245" s="143">
        <v>0.04</v>
      </c>
      <c r="N245" s="143">
        <v>9.2</v>
      </c>
      <c r="O245" s="143">
        <v>9.6</v>
      </c>
      <c r="P245" s="143"/>
      <c r="Q245" s="143"/>
      <c r="R245" s="143">
        <v>5.6</v>
      </c>
      <c r="S245" s="143">
        <v>0.24</v>
      </c>
      <c r="T245" s="11"/>
      <c r="U245" s="24"/>
      <c r="V245" s="24"/>
      <c r="W245" s="24"/>
    </row>
    <row r="246" spans="1:23" s="1" customFormat="1" ht="17.25" customHeight="1">
      <c r="A246" s="105">
        <v>71</v>
      </c>
      <c r="B246" s="192" t="s">
        <v>161</v>
      </c>
      <c r="C246" s="193"/>
      <c r="D246" s="72">
        <v>40</v>
      </c>
      <c r="E246" s="76">
        <v>0.33</v>
      </c>
      <c r="F246" s="76">
        <v>0.04</v>
      </c>
      <c r="G246" s="76">
        <v>1.13</v>
      </c>
      <c r="H246" s="76">
        <f t="shared" si="62"/>
        <v>6.199999999999999</v>
      </c>
      <c r="I246" s="77">
        <v>0.009</v>
      </c>
      <c r="J246" s="77">
        <v>0.01</v>
      </c>
      <c r="K246" s="76">
        <v>3</v>
      </c>
      <c r="L246" s="76">
        <v>0.003</v>
      </c>
      <c r="M246" s="72">
        <v>0.03</v>
      </c>
      <c r="N246" s="73">
        <v>6.9</v>
      </c>
      <c r="O246" s="73">
        <v>12.6</v>
      </c>
      <c r="P246" s="76">
        <v>0.064</v>
      </c>
      <c r="Q246" s="77">
        <v>0.001</v>
      </c>
      <c r="R246" s="73">
        <v>4.2</v>
      </c>
      <c r="S246" s="76">
        <v>0.18</v>
      </c>
      <c r="T246" s="78"/>
      <c r="U246" s="79"/>
      <c r="V246" s="79"/>
      <c r="W246" s="79"/>
    </row>
    <row r="247" spans="1:23" s="3" customFormat="1" ht="15.75" customHeight="1">
      <c r="A247" s="113">
        <v>15</v>
      </c>
      <c r="B247" s="192" t="s">
        <v>111</v>
      </c>
      <c r="C247" s="193"/>
      <c r="D247" s="74">
        <v>20</v>
      </c>
      <c r="E247" s="76">
        <f>2.32*D247/10</f>
        <v>4.64</v>
      </c>
      <c r="F247" s="76">
        <f>3.4*D247/10</f>
        <v>6.8</v>
      </c>
      <c r="G247" s="76">
        <f>0.01*D247/10</f>
        <v>0.02</v>
      </c>
      <c r="H247" s="76">
        <f>E247*4+F247*9+G247*4</f>
        <v>79.83999999999999</v>
      </c>
      <c r="I247" s="76">
        <f>0.004*D247/10</f>
        <v>0.008</v>
      </c>
      <c r="J247" s="76">
        <f>0.03*D247/10</f>
        <v>0.06</v>
      </c>
      <c r="K247" s="76">
        <f>0.07*D247/10</f>
        <v>0.14</v>
      </c>
      <c r="L247" s="77">
        <f>0.023*D247/10</f>
        <v>0.046</v>
      </c>
      <c r="M247" s="76">
        <f>0.05*D247/10</f>
        <v>0.1</v>
      </c>
      <c r="N247" s="76">
        <f>88*D247/10</f>
        <v>176</v>
      </c>
      <c r="O247" s="76">
        <f>50*D247/10</f>
        <v>100</v>
      </c>
      <c r="P247" s="76">
        <f>0.4*D247/10</f>
        <v>0.8</v>
      </c>
      <c r="Q247" s="77">
        <f>0.02*D247/10</f>
        <v>0.04</v>
      </c>
      <c r="R247" s="76">
        <f>3.5*D247/10</f>
        <v>7</v>
      </c>
      <c r="S247" s="76">
        <f>0.13*D247/10</f>
        <v>0.26</v>
      </c>
      <c r="T247" s="78"/>
      <c r="U247" s="79"/>
      <c r="V247" s="79"/>
      <c r="W247" s="79"/>
    </row>
    <row r="248" spans="1:23" s="75" customFormat="1" ht="15.75" customHeight="1">
      <c r="A248" s="113">
        <v>237</v>
      </c>
      <c r="B248" s="206" t="s">
        <v>162</v>
      </c>
      <c r="C248" s="208"/>
      <c r="D248" s="74">
        <v>90</v>
      </c>
      <c r="E248" s="76">
        <v>8.08</v>
      </c>
      <c r="F248" s="76">
        <v>10.69</v>
      </c>
      <c r="G248" s="76">
        <v>9.33</v>
      </c>
      <c r="H248" s="76">
        <f>E248*4+F248*9+G248*4</f>
        <v>165.85</v>
      </c>
      <c r="I248" s="76">
        <v>0.05</v>
      </c>
      <c r="J248" s="76">
        <v>0.06</v>
      </c>
      <c r="K248" s="76">
        <v>0.79</v>
      </c>
      <c r="L248" s="77">
        <v>0.11</v>
      </c>
      <c r="M248" s="76">
        <v>0.11</v>
      </c>
      <c r="N248" s="76">
        <v>25.3</v>
      </c>
      <c r="O248" s="76">
        <v>53</v>
      </c>
      <c r="P248" s="76">
        <v>0.2</v>
      </c>
      <c r="Q248" s="77">
        <v>0.009</v>
      </c>
      <c r="R248" s="76">
        <v>7.26</v>
      </c>
      <c r="S248" s="76">
        <v>0.23</v>
      </c>
      <c r="T248" s="78"/>
      <c r="U248" s="79"/>
      <c r="V248" s="79"/>
      <c r="W248" s="79"/>
    </row>
    <row r="249" spans="1:23" s="3" customFormat="1" ht="12.75" customHeight="1">
      <c r="A249" s="133">
        <v>175</v>
      </c>
      <c r="B249" s="192" t="s">
        <v>83</v>
      </c>
      <c r="C249" s="193"/>
      <c r="D249" s="74">
        <v>150</v>
      </c>
      <c r="E249" s="76">
        <v>3.45</v>
      </c>
      <c r="F249" s="73">
        <v>4.95</v>
      </c>
      <c r="G249" s="73">
        <v>25.18</v>
      </c>
      <c r="H249" s="73">
        <f t="shared" si="62"/>
        <v>159.07</v>
      </c>
      <c r="I249" s="73">
        <v>0.14</v>
      </c>
      <c r="J249" s="73">
        <v>0.1</v>
      </c>
      <c r="K249" s="73">
        <v>3.35</v>
      </c>
      <c r="L249" s="77">
        <v>0.037</v>
      </c>
      <c r="M249" s="72">
        <v>0</v>
      </c>
      <c r="N249" s="73">
        <v>127.4</v>
      </c>
      <c r="O249" s="73">
        <v>183.5</v>
      </c>
      <c r="P249" s="74">
        <v>0</v>
      </c>
      <c r="Q249" s="74">
        <v>0</v>
      </c>
      <c r="R249" s="73">
        <v>55.1</v>
      </c>
      <c r="S249" s="76">
        <v>0.3</v>
      </c>
      <c r="T249" s="78"/>
      <c r="U249" s="79"/>
      <c r="V249" s="79"/>
      <c r="W249" s="79"/>
    </row>
    <row r="250" spans="1:23" s="3" customFormat="1" ht="11.25" customHeight="1">
      <c r="A250" s="105">
        <v>377</v>
      </c>
      <c r="B250" s="191" t="s">
        <v>47</v>
      </c>
      <c r="C250" s="191"/>
      <c r="D250" s="74" t="s">
        <v>54</v>
      </c>
      <c r="E250" s="76">
        <v>0.26</v>
      </c>
      <c r="F250" s="76">
        <v>0.06</v>
      </c>
      <c r="G250" s="76">
        <v>15.22</v>
      </c>
      <c r="H250" s="76">
        <f t="shared" si="62"/>
        <v>62.46</v>
      </c>
      <c r="I250" s="76"/>
      <c r="J250" s="76">
        <v>0.01</v>
      </c>
      <c r="K250" s="76">
        <v>2.9</v>
      </c>
      <c r="L250" s="72">
        <v>0</v>
      </c>
      <c r="M250" s="76">
        <v>0.06</v>
      </c>
      <c r="N250" s="76">
        <v>8.05</v>
      </c>
      <c r="O250" s="76">
        <v>9.78</v>
      </c>
      <c r="P250" s="76">
        <v>0.017</v>
      </c>
      <c r="Q250" s="77">
        <v>0</v>
      </c>
      <c r="R250" s="76">
        <v>5.24</v>
      </c>
      <c r="S250" s="76">
        <v>0.87</v>
      </c>
      <c r="T250" s="78"/>
      <c r="U250" s="79"/>
      <c r="V250" s="79"/>
      <c r="W250" s="79"/>
    </row>
    <row r="251" spans="1:23" s="3" customFormat="1" ht="11.25" customHeight="1">
      <c r="A251" s="82" t="s">
        <v>90</v>
      </c>
      <c r="B251" s="192" t="s">
        <v>62</v>
      </c>
      <c r="C251" s="193"/>
      <c r="D251" s="74">
        <v>40</v>
      </c>
      <c r="E251" s="76">
        <f>1.52*D251/30</f>
        <v>2.0266666666666664</v>
      </c>
      <c r="F251" s="77">
        <f>0.16*D251/30</f>
        <v>0.21333333333333335</v>
      </c>
      <c r="G251" s="77">
        <f>9.84*D251/30</f>
        <v>13.120000000000001</v>
      </c>
      <c r="H251" s="77">
        <f t="shared" si="62"/>
        <v>62.50666666666667</v>
      </c>
      <c r="I251" s="77">
        <f>0.02*D251/30</f>
        <v>0.02666666666666667</v>
      </c>
      <c r="J251" s="77">
        <f>0.01*D251/30</f>
        <v>0.013333333333333334</v>
      </c>
      <c r="K251" s="77">
        <f>0.44*D251/30</f>
        <v>0.5866666666666667</v>
      </c>
      <c r="L251" s="77">
        <v>0</v>
      </c>
      <c r="M251" s="77">
        <f>0.7*D251/30</f>
        <v>0.9333333333333333</v>
      </c>
      <c r="N251" s="77">
        <f>4*D251/30</f>
        <v>5.333333333333333</v>
      </c>
      <c r="O251" s="77">
        <f>13*D251/30</f>
        <v>17.333333333333332</v>
      </c>
      <c r="P251" s="77">
        <f>0.008*D251/30</f>
        <v>0.010666666666666666</v>
      </c>
      <c r="Q251" s="77">
        <f>0.001*D251/30</f>
        <v>0.0013333333333333333</v>
      </c>
      <c r="R251" s="77">
        <v>0</v>
      </c>
      <c r="S251" s="77">
        <f>0.22*D251/30</f>
        <v>0.29333333333333333</v>
      </c>
      <c r="T251" s="78"/>
      <c r="U251" s="79"/>
      <c r="V251" s="79"/>
      <c r="W251" s="79"/>
    </row>
    <row r="252" spans="1:23" s="3" customFormat="1" ht="11.25" customHeight="1">
      <c r="A252" s="68" t="s">
        <v>24</v>
      </c>
      <c r="B252" s="69"/>
      <c r="C252" s="69"/>
      <c r="D252" s="130">
        <v>544</v>
      </c>
      <c r="E252" s="41">
        <f>SUM(E246:E251)</f>
        <v>18.78666666666667</v>
      </c>
      <c r="F252" s="41">
        <f>SUM(F246:F251)</f>
        <v>22.753333333333334</v>
      </c>
      <c r="G252" s="41">
        <f>SUM(G246:G251)</f>
        <v>64</v>
      </c>
      <c r="H252" s="41">
        <f>SUM(H246:H251)</f>
        <v>535.9266666666666</v>
      </c>
      <c r="I252" s="41">
        <f aca="true" t="shared" si="63" ref="I252:S252">SUM(I246:I251)</f>
        <v>0.2336666666666667</v>
      </c>
      <c r="J252" s="41">
        <f t="shared" si="63"/>
        <v>0.25333333333333335</v>
      </c>
      <c r="K252" s="41">
        <f t="shared" si="63"/>
        <v>10.766666666666666</v>
      </c>
      <c r="L252" s="41">
        <f t="shared" si="63"/>
        <v>0.196</v>
      </c>
      <c r="M252" s="41">
        <f t="shared" si="63"/>
        <v>1.2333333333333334</v>
      </c>
      <c r="N252" s="40">
        <f t="shared" si="63"/>
        <v>348.98333333333335</v>
      </c>
      <c r="O252" s="41">
        <f t="shared" si="63"/>
        <v>376.2133333333333</v>
      </c>
      <c r="P252" s="41">
        <f t="shared" si="63"/>
        <v>1.0916666666666666</v>
      </c>
      <c r="Q252" s="41">
        <f t="shared" si="63"/>
        <v>0.051333333333333335</v>
      </c>
      <c r="R252" s="41">
        <f t="shared" si="63"/>
        <v>78.8</v>
      </c>
      <c r="S252" s="41">
        <f t="shared" si="63"/>
        <v>2.1333333333333333</v>
      </c>
      <c r="T252" s="40"/>
      <c r="U252" s="43"/>
      <c r="V252" s="43"/>
      <c r="W252" s="43"/>
    </row>
    <row r="253" spans="1:23" s="3" customFormat="1" ht="11.25" customHeight="1">
      <c r="A253" s="229" t="s">
        <v>77</v>
      </c>
      <c r="B253" s="230"/>
      <c r="C253" s="230"/>
      <c r="D253" s="231"/>
      <c r="E253" s="102">
        <f aca="true" t="shared" si="64" ref="E253:S253">E252/E272</f>
        <v>0.24398268398268402</v>
      </c>
      <c r="F253" s="46">
        <f t="shared" si="64"/>
        <v>0.2880168776371308</v>
      </c>
      <c r="G253" s="46">
        <f t="shared" si="64"/>
        <v>0.191044776119403</v>
      </c>
      <c r="H253" s="46">
        <f t="shared" si="64"/>
        <v>0.22805390070921983</v>
      </c>
      <c r="I253" s="46">
        <f t="shared" si="64"/>
        <v>0.19472222222222224</v>
      </c>
      <c r="J253" s="46">
        <f t="shared" si="64"/>
        <v>0.18095238095238098</v>
      </c>
      <c r="K253" s="46">
        <f t="shared" si="64"/>
        <v>0.17944444444444443</v>
      </c>
      <c r="L253" s="46">
        <f t="shared" si="64"/>
        <v>0.28</v>
      </c>
      <c r="M253" s="46">
        <f t="shared" si="64"/>
        <v>0.12333333333333334</v>
      </c>
      <c r="N253" s="46">
        <f t="shared" si="64"/>
        <v>0.3172575757575758</v>
      </c>
      <c r="O253" s="46">
        <f t="shared" si="64"/>
        <v>0.3420121212121212</v>
      </c>
      <c r="P253" s="46">
        <f t="shared" si="64"/>
        <v>0.10916666666666666</v>
      </c>
      <c r="Q253" s="46">
        <f t="shared" si="64"/>
        <v>0.5133333333333333</v>
      </c>
      <c r="R253" s="46">
        <f t="shared" si="64"/>
        <v>0.3152</v>
      </c>
      <c r="S253" s="46">
        <f t="shared" si="64"/>
        <v>0.17777777777777778</v>
      </c>
      <c r="T253" s="51"/>
      <c r="U253" s="43"/>
      <c r="V253" s="43"/>
      <c r="W253" s="43"/>
    </row>
    <row r="254" spans="1:23" s="75" customFormat="1" ht="11.25" customHeight="1">
      <c r="A254" s="89" t="s">
        <v>110</v>
      </c>
      <c r="B254" s="90"/>
      <c r="C254" s="90"/>
      <c r="D254" s="132"/>
      <c r="E254" s="41">
        <f>E245+E247+E248+E249+E250+E251</f>
        <v>18.776666666666667</v>
      </c>
      <c r="F254" s="41">
        <f aca="true" t="shared" si="65" ref="F254:S254">F245+F247+F248+F249+F250+F251</f>
        <v>22.753333333333334</v>
      </c>
      <c r="G254" s="41">
        <f t="shared" si="65"/>
        <v>63.55</v>
      </c>
      <c r="H254" s="41">
        <f t="shared" si="65"/>
        <v>534.0866666666667</v>
      </c>
      <c r="I254" s="41">
        <f t="shared" si="65"/>
        <v>0.2326666666666667</v>
      </c>
      <c r="J254" s="41">
        <f t="shared" si="65"/>
        <v>0.25133333333333335</v>
      </c>
      <c r="K254" s="41">
        <f t="shared" si="65"/>
        <v>9.766666666666666</v>
      </c>
      <c r="L254" s="41">
        <f t="shared" si="65"/>
        <v>0.195</v>
      </c>
      <c r="M254" s="41">
        <f t="shared" si="65"/>
        <v>1.2433333333333334</v>
      </c>
      <c r="N254" s="41">
        <f t="shared" si="65"/>
        <v>351.2833333333333</v>
      </c>
      <c r="O254" s="41">
        <f t="shared" si="65"/>
        <v>373.2133333333333</v>
      </c>
      <c r="P254" s="41">
        <f t="shared" si="65"/>
        <v>1.0276666666666665</v>
      </c>
      <c r="Q254" s="41">
        <f t="shared" si="65"/>
        <v>0.050333333333333334</v>
      </c>
      <c r="R254" s="41">
        <f t="shared" si="65"/>
        <v>80.2</v>
      </c>
      <c r="S254" s="41">
        <f t="shared" si="65"/>
        <v>2.1933333333333334</v>
      </c>
      <c r="T254" s="51"/>
      <c r="U254" s="43"/>
      <c r="V254" s="43"/>
      <c r="W254" s="43"/>
    </row>
    <row r="255" spans="1:23" s="3" customFormat="1" ht="11.25" customHeight="1">
      <c r="A255" s="200" t="s">
        <v>27</v>
      </c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2"/>
      <c r="T255" s="16"/>
      <c r="U255" s="26"/>
      <c r="V255" s="26"/>
      <c r="W255" s="26"/>
    </row>
    <row r="256" spans="1:23" s="75" customFormat="1" ht="11.25" customHeight="1">
      <c r="A256" s="70">
        <v>67</v>
      </c>
      <c r="B256" s="196" t="s">
        <v>124</v>
      </c>
      <c r="C256" s="197"/>
      <c r="D256" s="70">
        <v>60</v>
      </c>
      <c r="E256" s="83">
        <f>1.5*D256/60</f>
        <v>1.5</v>
      </c>
      <c r="F256" s="70">
        <f>3.47*D256/60</f>
        <v>3.47</v>
      </c>
      <c r="G256" s="70">
        <f>6.77*D256/60</f>
        <v>6.77</v>
      </c>
      <c r="H256" s="76">
        <f>E256*4+F256*9+G256*4</f>
        <v>64.31</v>
      </c>
      <c r="I256" s="70">
        <f>0.04*D256/60</f>
        <v>0.04</v>
      </c>
      <c r="J256" s="70">
        <f>0.03*D256/60</f>
        <v>0.029999999999999995</v>
      </c>
      <c r="K256" s="70">
        <f>8.6*D256/60</f>
        <v>8.6</v>
      </c>
      <c r="L256" s="70">
        <f>0.74*D256/60</f>
        <v>0.74</v>
      </c>
      <c r="M256" s="70">
        <f>0.2*D256/60</f>
        <v>0.2</v>
      </c>
      <c r="N256" s="83">
        <f>23.39*D256/60</f>
        <v>23.39</v>
      </c>
      <c r="O256" s="116">
        <f>34.04*D256/60</f>
        <v>34.04</v>
      </c>
      <c r="P256" s="70">
        <f>0.01*D256/60</f>
        <v>0.01</v>
      </c>
      <c r="Q256" s="70">
        <f>0.04*D256/60</f>
        <v>0.04</v>
      </c>
      <c r="R256" s="70">
        <f>15.61*D256/60</f>
        <v>15.609999999999998</v>
      </c>
      <c r="S256" s="70">
        <f>0.7*D256/60</f>
        <v>0.7</v>
      </c>
      <c r="T256" s="16"/>
      <c r="U256" s="26"/>
      <c r="V256" s="26"/>
      <c r="W256" s="26"/>
    </row>
    <row r="257" spans="1:23" s="75" customFormat="1" ht="22.5" customHeight="1">
      <c r="A257" s="167">
        <v>113</v>
      </c>
      <c r="B257" s="192" t="s">
        <v>65</v>
      </c>
      <c r="C257" s="193"/>
      <c r="D257" s="72" t="s">
        <v>52</v>
      </c>
      <c r="E257" s="76">
        <v>6.9</v>
      </c>
      <c r="F257" s="77">
        <v>6.95</v>
      </c>
      <c r="G257" s="77">
        <v>18.76</v>
      </c>
      <c r="H257" s="77">
        <f aca="true" t="shared" si="66" ref="H257:H262">E257*4+F257*9+G257*4</f>
        <v>165.19</v>
      </c>
      <c r="I257" s="77">
        <v>0.18</v>
      </c>
      <c r="J257" s="77">
        <v>0.17</v>
      </c>
      <c r="K257" s="77">
        <v>4.22</v>
      </c>
      <c r="L257" s="77">
        <v>0.82</v>
      </c>
      <c r="M257" s="77">
        <v>0.3</v>
      </c>
      <c r="N257" s="77">
        <v>34.7</v>
      </c>
      <c r="O257" s="77">
        <v>75.88</v>
      </c>
      <c r="P257" s="77">
        <v>0.1</v>
      </c>
      <c r="Q257" s="77">
        <v>0.001</v>
      </c>
      <c r="R257" s="77">
        <v>14.51</v>
      </c>
      <c r="S257" s="77">
        <v>0.99</v>
      </c>
      <c r="T257" s="78"/>
      <c r="U257" s="79"/>
      <c r="V257" s="79"/>
      <c r="W257" s="79"/>
    </row>
    <row r="258" spans="1:23" s="75" customFormat="1" ht="12.75" customHeight="1">
      <c r="A258" s="167">
        <v>293</v>
      </c>
      <c r="B258" s="192" t="s">
        <v>96</v>
      </c>
      <c r="C258" s="193"/>
      <c r="D258" s="74">
        <v>90</v>
      </c>
      <c r="E258" s="76">
        <v>14.88</v>
      </c>
      <c r="F258" s="76">
        <v>14.64</v>
      </c>
      <c r="G258" s="76">
        <f>D258*0.15/80</f>
        <v>0.16875</v>
      </c>
      <c r="H258" s="76">
        <f t="shared" si="66"/>
        <v>191.955</v>
      </c>
      <c r="I258" s="76">
        <v>0.068</v>
      </c>
      <c r="J258" s="76">
        <v>0.146</v>
      </c>
      <c r="K258" s="76">
        <f>D258*0.02/80</f>
        <v>0.0225</v>
      </c>
      <c r="L258" s="77">
        <v>0.012</v>
      </c>
      <c r="M258" s="72">
        <v>0.115</v>
      </c>
      <c r="N258" s="76">
        <v>12.71</v>
      </c>
      <c r="O258" s="76">
        <v>120.11</v>
      </c>
      <c r="P258" s="77">
        <v>0.929</v>
      </c>
      <c r="Q258" s="74">
        <v>0</v>
      </c>
      <c r="R258" s="76">
        <v>15.55</v>
      </c>
      <c r="S258" s="76">
        <v>1.14</v>
      </c>
      <c r="T258" s="78"/>
      <c r="U258" s="79"/>
      <c r="V258" s="79"/>
      <c r="W258" s="79"/>
    </row>
    <row r="259" spans="1:23" s="75" customFormat="1" ht="12.75" customHeight="1">
      <c r="A259" s="167">
        <v>139</v>
      </c>
      <c r="B259" s="192" t="s">
        <v>95</v>
      </c>
      <c r="C259" s="193"/>
      <c r="D259" s="74">
        <v>150</v>
      </c>
      <c r="E259" s="76">
        <f>2.77*D259/150</f>
        <v>2.77</v>
      </c>
      <c r="F259" s="76">
        <f>4.84*D259/150</f>
        <v>4.84</v>
      </c>
      <c r="G259" s="76">
        <f>10.78*D259/150</f>
        <v>10.78</v>
      </c>
      <c r="H259" s="76">
        <f t="shared" si="66"/>
        <v>97.75999999999999</v>
      </c>
      <c r="I259" s="76">
        <f>0.77*D259/180</f>
        <v>0.6416666666666667</v>
      </c>
      <c r="J259" s="76">
        <f>0.16*D259/180</f>
        <v>0.13333333333333333</v>
      </c>
      <c r="K259" s="72">
        <v>0.16</v>
      </c>
      <c r="L259" s="72">
        <f>0.03*D259/180</f>
        <v>0.025</v>
      </c>
      <c r="M259" s="77">
        <v>0.01</v>
      </c>
      <c r="N259" s="76">
        <f>73.05*D259/150</f>
        <v>73.05</v>
      </c>
      <c r="O259" s="76">
        <f>54*D259/150</f>
        <v>54</v>
      </c>
      <c r="P259" s="73">
        <v>3.5</v>
      </c>
      <c r="Q259" s="77">
        <v>0.017</v>
      </c>
      <c r="R259" s="76">
        <f>27.75*D259/150</f>
        <v>27.75</v>
      </c>
      <c r="S259" s="76">
        <f>1.09*D259/150</f>
        <v>1.09</v>
      </c>
      <c r="T259" s="78"/>
      <c r="U259" s="79"/>
      <c r="V259" s="79"/>
      <c r="W259" s="79"/>
    </row>
    <row r="260" spans="1:23" s="3" customFormat="1" ht="21.75" customHeight="1">
      <c r="A260" s="82">
        <v>349</v>
      </c>
      <c r="B260" s="192" t="s">
        <v>53</v>
      </c>
      <c r="C260" s="193"/>
      <c r="D260" s="74">
        <v>200</v>
      </c>
      <c r="E260" s="76">
        <v>0.22</v>
      </c>
      <c r="F260" s="72"/>
      <c r="G260" s="76">
        <v>24.42</v>
      </c>
      <c r="H260" s="76">
        <f t="shared" si="66"/>
        <v>98.56</v>
      </c>
      <c r="I260" s="72"/>
      <c r="J260" s="72"/>
      <c r="K260" s="76">
        <v>26.11</v>
      </c>
      <c r="L260" s="72"/>
      <c r="M260" s="72"/>
      <c r="N260" s="73">
        <v>22.6</v>
      </c>
      <c r="O260" s="73">
        <v>7.7</v>
      </c>
      <c r="P260" s="74">
        <v>0</v>
      </c>
      <c r="Q260" s="74">
        <v>0</v>
      </c>
      <c r="R260" s="73">
        <v>3</v>
      </c>
      <c r="S260" s="76">
        <v>0.66</v>
      </c>
      <c r="T260" s="78"/>
      <c r="U260" s="79"/>
      <c r="V260" s="79"/>
      <c r="W260" s="79"/>
    </row>
    <row r="261" spans="1:23" s="3" customFormat="1" ht="11.25" customHeight="1">
      <c r="A261" s="83" t="s">
        <v>90</v>
      </c>
      <c r="B261" s="192" t="s">
        <v>48</v>
      </c>
      <c r="C261" s="193"/>
      <c r="D261" s="74">
        <v>40</v>
      </c>
      <c r="E261" s="76">
        <f>2.64*D261/40</f>
        <v>2.64</v>
      </c>
      <c r="F261" s="76">
        <f>0.48*D261/40</f>
        <v>0.48</v>
      </c>
      <c r="G261" s="76">
        <f>13.68*D261/40</f>
        <v>13.680000000000001</v>
      </c>
      <c r="H261" s="73">
        <f t="shared" si="66"/>
        <v>69.60000000000001</v>
      </c>
      <c r="I261" s="72">
        <f>0.08*D261/40</f>
        <v>0.08</v>
      </c>
      <c r="J261" s="76">
        <f>0.04*D261/40</f>
        <v>0.04</v>
      </c>
      <c r="K261" s="74">
        <v>0</v>
      </c>
      <c r="L261" s="74">
        <v>0</v>
      </c>
      <c r="M261" s="76">
        <f>2.4*D261/40</f>
        <v>2.4</v>
      </c>
      <c r="N261" s="76">
        <f>14*D261/40</f>
        <v>14</v>
      </c>
      <c r="O261" s="76">
        <f>63.2*D261/40</f>
        <v>63.2</v>
      </c>
      <c r="P261" s="76">
        <f>1.2*D261/40</f>
        <v>1.2</v>
      </c>
      <c r="Q261" s="77">
        <f>0.001*D261/40</f>
        <v>0.001</v>
      </c>
      <c r="R261" s="76">
        <f>9.4*D261/40</f>
        <v>9.4</v>
      </c>
      <c r="S261" s="72">
        <f>0.78*D261/40</f>
        <v>0.78</v>
      </c>
      <c r="T261" s="30"/>
      <c r="U261" s="31"/>
      <c r="V261" s="31"/>
      <c r="W261" s="31"/>
    </row>
    <row r="262" spans="1:23" s="3" customFormat="1" ht="11.25" customHeight="1">
      <c r="A262" s="82" t="s">
        <v>90</v>
      </c>
      <c r="B262" s="192" t="s">
        <v>62</v>
      </c>
      <c r="C262" s="193"/>
      <c r="D262" s="74">
        <v>30</v>
      </c>
      <c r="E262" s="76">
        <f>1.52*D262/30</f>
        <v>1.52</v>
      </c>
      <c r="F262" s="77">
        <f>0.16*D262/30</f>
        <v>0.16</v>
      </c>
      <c r="G262" s="77">
        <f>9.84*D262/30</f>
        <v>9.84</v>
      </c>
      <c r="H262" s="77">
        <f t="shared" si="66"/>
        <v>46.879999999999995</v>
      </c>
      <c r="I262" s="77">
        <f>0.02*D262/30</f>
        <v>0.02</v>
      </c>
      <c r="J262" s="77">
        <f>0.01*D262/30</f>
        <v>0.01</v>
      </c>
      <c r="K262" s="77">
        <f>0.44*D262/30</f>
        <v>0.44</v>
      </c>
      <c r="L262" s="77">
        <v>0</v>
      </c>
      <c r="M262" s="77">
        <f>0.7*D262/30</f>
        <v>0.7</v>
      </c>
      <c r="N262" s="77">
        <f>4*D262/30</f>
        <v>4</v>
      </c>
      <c r="O262" s="77">
        <f>13*D262/30</f>
        <v>13</v>
      </c>
      <c r="P262" s="77">
        <f>0.008*D262/30</f>
        <v>0.008</v>
      </c>
      <c r="Q262" s="77">
        <f>0.001*D262/30</f>
        <v>0.001</v>
      </c>
      <c r="R262" s="77">
        <v>0</v>
      </c>
      <c r="S262" s="77">
        <f>0.22*D262/30</f>
        <v>0.22</v>
      </c>
      <c r="T262" s="78"/>
      <c r="U262" s="79"/>
      <c r="V262" s="79"/>
      <c r="W262" s="79"/>
    </row>
    <row r="263" spans="1:23" s="3" customFormat="1" ht="11.25" customHeight="1">
      <c r="A263" s="168" t="s">
        <v>28</v>
      </c>
      <c r="B263" s="169"/>
      <c r="C263" s="169"/>
      <c r="D263" s="126">
        <v>780</v>
      </c>
      <c r="E263" s="41">
        <f aca="true" t="shared" si="67" ref="E263:S263">SUM(E256:E262)</f>
        <v>30.43</v>
      </c>
      <c r="F263" s="40">
        <f t="shared" si="67"/>
        <v>30.540000000000003</v>
      </c>
      <c r="G263" s="40">
        <f t="shared" si="67"/>
        <v>84.41875</v>
      </c>
      <c r="H263" s="40">
        <f t="shared" si="67"/>
        <v>734.2550000000001</v>
      </c>
      <c r="I263" s="40">
        <f t="shared" si="67"/>
        <v>1.0296666666666667</v>
      </c>
      <c r="J263" s="40">
        <f t="shared" si="67"/>
        <v>0.5293333333333333</v>
      </c>
      <c r="K263" s="40">
        <f t="shared" si="67"/>
        <v>39.552499999999995</v>
      </c>
      <c r="L263" s="40">
        <f t="shared" si="67"/>
        <v>1.597</v>
      </c>
      <c r="M263" s="40">
        <f t="shared" si="67"/>
        <v>3.7249999999999996</v>
      </c>
      <c r="N263" s="40">
        <f t="shared" si="67"/>
        <v>184.45000000000002</v>
      </c>
      <c r="O263" s="40">
        <f t="shared" si="67"/>
        <v>367.92999999999995</v>
      </c>
      <c r="P263" s="40">
        <f t="shared" si="67"/>
        <v>5.747</v>
      </c>
      <c r="Q263" s="40">
        <f t="shared" si="67"/>
        <v>0.060000000000000005</v>
      </c>
      <c r="R263" s="40">
        <f t="shared" si="67"/>
        <v>85.82000000000001</v>
      </c>
      <c r="S263" s="40">
        <f t="shared" si="67"/>
        <v>5.58</v>
      </c>
      <c r="T263" s="40"/>
      <c r="U263" s="43"/>
      <c r="V263" s="43"/>
      <c r="W263" s="43"/>
    </row>
    <row r="264" spans="1:23" s="3" customFormat="1" ht="11.25" customHeight="1">
      <c r="A264" s="229" t="s">
        <v>77</v>
      </c>
      <c r="B264" s="230"/>
      <c r="C264" s="230"/>
      <c r="D264" s="231"/>
      <c r="E264" s="102">
        <f>E263/E272</f>
        <v>0.3951948051948052</v>
      </c>
      <c r="F264" s="46">
        <f aca="true" t="shared" si="68" ref="F264:S264">F263/F272</f>
        <v>0.3865822784810127</v>
      </c>
      <c r="G264" s="46">
        <f t="shared" si="68"/>
        <v>0.2519962686567164</v>
      </c>
      <c r="H264" s="46">
        <f t="shared" si="68"/>
        <v>0.3124489361702128</v>
      </c>
      <c r="I264" s="46">
        <f t="shared" si="68"/>
        <v>0.8580555555555557</v>
      </c>
      <c r="J264" s="46">
        <f t="shared" si="68"/>
        <v>0.3780952380952381</v>
      </c>
      <c r="K264" s="46">
        <f t="shared" si="68"/>
        <v>0.6592083333333333</v>
      </c>
      <c r="L264" s="46">
        <f t="shared" si="68"/>
        <v>2.2814285714285716</v>
      </c>
      <c r="M264" s="46">
        <f t="shared" si="68"/>
        <v>0.37249999999999994</v>
      </c>
      <c r="N264" s="46">
        <f t="shared" si="68"/>
        <v>0.1676818181818182</v>
      </c>
      <c r="O264" s="46">
        <f t="shared" si="68"/>
        <v>0.33448181818181816</v>
      </c>
      <c r="P264" s="46">
        <f t="shared" si="68"/>
        <v>0.5747</v>
      </c>
      <c r="Q264" s="46">
        <f t="shared" si="68"/>
        <v>0.6</v>
      </c>
      <c r="R264" s="46">
        <f t="shared" si="68"/>
        <v>0.34328000000000003</v>
      </c>
      <c r="S264" s="46">
        <f t="shared" si="68"/>
        <v>0.465</v>
      </c>
      <c r="T264" s="51"/>
      <c r="U264" s="43"/>
      <c r="V264" s="43"/>
      <c r="W264" s="43"/>
    </row>
    <row r="265" spans="1:23" s="3" customFormat="1" ht="11.25" customHeight="1">
      <c r="A265" s="203" t="s">
        <v>29</v>
      </c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5"/>
      <c r="T265" s="11"/>
      <c r="U265" s="24"/>
      <c r="V265" s="24"/>
      <c r="W265" s="24"/>
    </row>
    <row r="266" spans="1:23" s="75" customFormat="1" ht="11.25" customHeight="1">
      <c r="A266" s="71">
        <v>338</v>
      </c>
      <c r="B266" s="191" t="s">
        <v>167</v>
      </c>
      <c r="C266" s="191"/>
      <c r="D266" s="84">
        <v>100</v>
      </c>
      <c r="E266" s="76">
        <f>1.5*D266/100</f>
        <v>1.5</v>
      </c>
      <c r="F266" s="76">
        <f>0.5*D266/100</f>
        <v>0.5</v>
      </c>
      <c r="G266" s="76">
        <f>21*D266/100</f>
        <v>21</v>
      </c>
      <c r="H266" s="83">
        <f>E266*4+F266*9+G266*4</f>
        <v>94.5</v>
      </c>
      <c r="I266" s="76">
        <f>0.04*D266/100</f>
        <v>0.04</v>
      </c>
      <c r="J266" s="76">
        <f>0.05*D266/100</f>
        <v>0.05</v>
      </c>
      <c r="K266" s="73">
        <f>10*D266/100</f>
        <v>10</v>
      </c>
      <c r="L266" s="77">
        <f>0.02*D266/100</f>
        <v>0.02</v>
      </c>
      <c r="M266" s="77">
        <f>0.4*D266/100</f>
        <v>0.4</v>
      </c>
      <c r="N266" s="77">
        <f>8*D266/100</f>
        <v>8</v>
      </c>
      <c r="O266" s="77">
        <f>28*D266/100</f>
        <v>28</v>
      </c>
      <c r="P266" s="77">
        <f>0.15*D266/100</f>
        <v>0.15</v>
      </c>
      <c r="Q266" s="77"/>
      <c r="R266" s="77">
        <f>42*D266/100</f>
        <v>42</v>
      </c>
      <c r="S266" s="77"/>
      <c r="T266" s="11"/>
      <c r="U266" s="24"/>
      <c r="V266" s="24"/>
      <c r="W266" s="24"/>
    </row>
    <row r="267" spans="1:23" s="3" customFormat="1" ht="12.75" customHeight="1">
      <c r="A267" s="83"/>
      <c r="B267" s="192" t="s">
        <v>64</v>
      </c>
      <c r="C267" s="193"/>
      <c r="D267" s="74">
        <v>18</v>
      </c>
      <c r="E267" s="76">
        <v>1.36</v>
      </c>
      <c r="F267" s="76">
        <v>1.81</v>
      </c>
      <c r="G267" s="76">
        <v>11.04</v>
      </c>
      <c r="H267" s="76">
        <f>E267*4+F267*9+G267*4</f>
        <v>65.89</v>
      </c>
      <c r="I267" s="72">
        <v>0</v>
      </c>
      <c r="J267" s="72">
        <v>0</v>
      </c>
      <c r="K267" s="74">
        <v>0</v>
      </c>
      <c r="L267" s="72">
        <v>0</v>
      </c>
      <c r="M267" s="72">
        <v>0</v>
      </c>
      <c r="N267" s="73">
        <v>1</v>
      </c>
      <c r="O267" s="73">
        <v>0.2</v>
      </c>
      <c r="P267" s="74">
        <v>0</v>
      </c>
      <c r="Q267" s="74">
        <v>0</v>
      </c>
      <c r="R267" s="57">
        <v>0.4</v>
      </c>
      <c r="S267" s="76">
        <v>0.08</v>
      </c>
      <c r="T267" s="78"/>
      <c r="U267" s="79"/>
      <c r="V267" s="79"/>
      <c r="W267" s="79"/>
    </row>
    <row r="268" spans="1:23" s="3" customFormat="1" ht="12.75" customHeight="1">
      <c r="A268" s="105">
        <v>386</v>
      </c>
      <c r="B268" s="192" t="s">
        <v>92</v>
      </c>
      <c r="C268" s="193"/>
      <c r="D268" s="74">
        <v>200</v>
      </c>
      <c r="E268" s="76">
        <v>5.8</v>
      </c>
      <c r="F268" s="76">
        <v>5</v>
      </c>
      <c r="G268" s="76">
        <v>8.4</v>
      </c>
      <c r="H268" s="76">
        <f>E268*4+F268*9+G268*4</f>
        <v>101.80000000000001</v>
      </c>
      <c r="I268" s="77">
        <v>0.04</v>
      </c>
      <c r="J268" s="77">
        <v>0.26</v>
      </c>
      <c r="K268" s="76">
        <v>0.6</v>
      </c>
      <c r="L268" s="76">
        <v>0.04</v>
      </c>
      <c r="M268" s="72">
        <v>0.001</v>
      </c>
      <c r="N268" s="76">
        <v>248</v>
      </c>
      <c r="O268" s="76">
        <v>184</v>
      </c>
      <c r="P268" s="73">
        <v>0.4</v>
      </c>
      <c r="Q268" s="77">
        <v>0.001</v>
      </c>
      <c r="R268" s="76">
        <v>28</v>
      </c>
      <c r="S268" s="76">
        <v>0.2</v>
      </c>
      <c r="T268" s="78"/>
      <c r="U268" s="79"/>
      <c r="V268" s="79"/>
      <c r="W268" s="79"/>
    </row>
    <row r="269" spans="1:23" s="1" customFormat="1" ht="11.25" customHeight="1">
      <c r="A269" s="66" t="s">
        <v>30</v>
      </c>
      <c r="B269" s="67"/>
      <c r="C269" s="67"/>
      <c r="D269" s="130">
        <f>SUM(D266:D268)</f>
        <v>318</v>
      </c>
      <c r="E269" s="41">
        <f>SUM(E266:E268)</f>
        <v>8.66</v>
      </c>
      <c r="F269" s="40">
        <f>SUM(F266:F268)</f>
        <v>7.3100000000000005</v>
      </c>
      <c r="G269" s="40">
        <f>SUM(G266:G268)</f>
        <v>40.44</v>
      </c>
      <c r="H269" s="40">
        <f>SUM(H266:H268)</f>
        <v>262.19</v>
      </c>
      <c r="I269" s="41">
        <f aca="true" t="shared" si="69" ref="I269:S269">SUM(I266:I268)</f>
        <v>0.08</v>
      </c>
      <c r="J269" s="41">
        <f t="shared" si="69"/>
        <v>0.31</v>
      </c>
      <c r="K269" s="52">
        <f t="shared" si="69"/>
        <v>10.6</v>
      </c>
      <c r="L269" s="40">
        <f t="shared" si="69"/>
        <v>0.06</v>
      </c>
      <c r="M269" s="40">
        <f t="shared" si="69"/>
        <v>0.401</v>
      </c>
      <c r="N269" s="40">
        <f t="shared" si="69"/>
        <v>257</v>
      </c>
      <c r="O269" s="40">
        <f t="shared" si="69"/>
        <v>212.2</v>
      </c>
      <c r="P269" s="40">
        <f t="shared" si="69"/>
        <v>0.55</v>
      </c>
      <c r="Q269" s="41">
        <f t="shared" si="69"/>
        <v>0.001</v>
      </c>
      <c r="R269" s="40">
        <f t="shared" si="69"/>
        <v>70.4</v>
      </c>
      <c r="S269" s="41">
        <f t="shared" si="69"/>
        <v>0.28</v>
      </c>
      <c r="T269" s="40"/>
      <c r="U269" s="43"/>
      <c r="V269" s="43"/>
      <c r="W269" s="43"/>
    </row>
    <row r="270" spans="1:23" s="1" customFormat="1" ht="11.25" customHeight="1">
      <c r="A270" s="229" t="s">
        <v>77</v>
      </c>
      <c r="B270" s="230"/>
      <c r="C270" s="230"/>
      <c r="D270" s="231"/>
      <c r="E270" s="81">
        <f>E269/E272</f>
        <v>0.11246753246753247</v>
      </c>
      <c r="F270" s="46">
        <f aca="true" t="shared" si="70" ref="F270:S270">F269/F272</f>
        <v>0.09253164556962026</v>
      </c>
      <c r="G270" s="46">
        <f t="shared" si="70"/>
        <v>0.12071641791044775</v>
      </c>
      <c r="H270" s="46">
        <f t="shared" si="70"/>
        <v>0.11157021276595745</v>
      </c>
      <c r="I270" s="46">
        <f t="shared" si="70"/>
        <v>0.06666666666666667</v>
      </c>
      <c r="J270" s="46">
        <f t="shared" si="70"/>
        <v>0.22142857142857145</v>
      </c>
      <c r="K270" s="46">
        <f t="shared" si="70"/>
        <v>0.17666666666666667</v>
      </c>
      <c r="L270" s="46">
        <f t="shared" si="70"/>
        <v>0.08571428571428572</v>
      </c>
      <c r="M270" s="46">
        <f t="shared" si="70"/>
        <v>0.040100000000000004</v>
      </c>
      <c r="N270" s="46">
        <f t="shared" si="70"/>
        <v>0.23363636363636364</v>
      </c>
      <c r="O270" s="46">
        <f t="shared" si="70"/>
        <v>0.1929090909090909</v>
      </c>
      <c r="P270" s="46">
        <f t="shared" si="70"/>
        <v>0.05500000000000001</v>
      </c>
      <c r="Q270" s="46">
        <f t="shared" si="70"/>
        <v>0.01</v>
      </c>
      <c r="R270" s="46">
        <f t="shared" si="70"/>
        <v>0.2816</v>
      </c>
      <c r="S270" s="46">
        <f t="shared" si="70"/>
        <v>0.023333333333333334</v>
      </c>
      <c r="T270" s="51"/>
      <c r="U270" s="43"/>
      <c r="V270" s="43"/>
      <c r="W270" s="43"/>
    </row>
    <row r="271" spans="1:23" s="1" customFormat="1" ht="11.25" customHeight="1">
      <c r="A271" s="219" t="s">
        <v>76</v>
      </c>
      <c r="B271" s="220"/>
      <c r="C271" s="220"/>
      <c r="D271" s="221"/>
      <c r="E271" s="41">
        <f aca="true" t="shared" si="71" ref="E271:S271">SUM(E252,E263,E269)</f>
        <v>57.876666666666665</v>
      </c>
      <c r="F271" s="40">
        <f t="shared" si="71"/>
        <v>60.60333333333334</v>
      </c>
      <c r="G271" s="40">
        <f t="shared" si="71"/>
        <v>188.85875</v>
      </c>
      <c r="H271" s="40">
        <f t="shared" si="71"/>
        <v>1532.371666666667</v>
      </c>
      <c r="I271" s="41">
        <f t="shared" si="71"/>
        <v>1.3433333333333335</v>
      </c>
      <c r="J271" s="41">
        <f t="shared" si="71"/>
        <v>1.0926666666666667</v>
      </c>
      <c r="K271" s="40">
        <f t="shared" si="71"/>
        <v>60.91916666666666</v>
      </c>
      <c r="L271" s="41">
        <f t="shared" si="71"/>
        <v>1.853</v>
      </c>
      <c r="M271" s="41">
        <f t="shared" si="71"/>
        <v>5.359333333333333</v>
      </c>
      <c r="N271" s="40">
        <f t="shared" si="71"/>
        <v>790.4333333333334</v>
      </c>
      <c r="O271" s="40">
        <f t="shared" si="71"/>
        <v>956.3433333333332</v>
      </c>
      <c r="P271" s="41">
        <f t="shared" si="71"/>
        <v>7.3886666666666665</v>
      </c>
      <c r="Q271" s="42">
        <f t="shared" si="71"/>
        <v>0.11233333333333334</v>
      </c>
      <c r="R271" s="41">
        <f t="shared" si="71"/>
        <v>235.02</v>
      </c>
      <c r="S271" s="41">
        <f t="shared" si="71"/>
        <v>7.993333333333333</v>
      </c>
      <c r="T271" s="44"/>
      <c r="U271" s="43"/>
      <c r="V271" s="43"/>
      <c r="W271" s="43"/>
    </row>
    <row r="272" spans="1:23" s="1" customFormat="1" ht="11.25" customHeight="1">
      <c r="A272" s="219" t="s">
        <v>78</v>
      </c>
      <c r="B272" s="220"/>
      <c r="C272" s="220"/>
      <c r="D272" s="221"/>
      <c r="E272" s="76">
        <v>77</v>
      </c>
      <c r="F272" s="73">
        <v>79</v>
      </c>
      <c r="G272" s="73">
        <v>335</v>
      </c>
      <c r="H272" s="73">
        <v>2350</v>
      </c>
      <c r="I272" s="76">
        <v>1.2</v>
      </c>
      <c r="J272" s="76">
        <v>1.4</v>
      </c>
      <c r="K272" s="74">
        <v>60</v>
      </c>
      <c r="L272" s="76">
        <v>0.7</v>
      </c>
      <c r="M272" s="74">
        <v>10</v>
      </c>
      <c r="N272" s="74">
        <v>1100</v>
      </c>
      <c r="O272" s="74">
        <v>1100</v>
      </c>
      <c r="P272" s="74">
        <v>10</v>
      </c>
      <c r="Q272" s="73">
        <v>0.1</v>
      </c>
      <c r="R272" s="74">
        <v>250</v>
      </c>
      <c r="S272" s="76">
        <v>12</v>
      </c>
      <c r="T272" s="78"/>
      <c r="U272" s="79"/>
      <c r="V272" s="79"/>
      <c r="W272" s="79"/>
    </row>
    <row r="273" spans="1:23" s="1" customFormat="1" ht="11.25" customHeight="1">
      <c r="A273" s="229" t="s">
        <v>77</v>
      </c>
      <c r="B273" s="230"/>
      <c r="C273" s="230"/>
      <c r="D273" s="231"/>
      <c r="E273" s="81">
        <f aca="true" t="shared" si="72" ref="E273:S273">E271/E272</f>
        <v>0.7516450216450217</v>
      </c>
      <c r="F273" s="46">
        <f t="shared" si="72"/>
        <v>0.7671308016877638</v>
      </c>
      <c r="G273" s="46">
        <f t="shared" si="72"/>
        <v>0.5637574626865671</v>
      </c>
      <c r="H273" s="46">
        <f t="shared" si="72"/>
        <v>0.6520730496453901</v>
      </c>
      <c r="I273" s="46">
        <f t="shared" si="72"/>
        <v>1.1194444444444447</v>
      </c>
      <c r="J273" s="46">
        <f t="shared" si="72"/>
        <v>0.7804761904761905</v>
      </c>
      <c r="K273" s="46">
        <f t="shared" si="72"/>
        <v>1.0153194444444444</v>
      </c>
      <c r="L273" s="47">
        <f t="shared" si="72"/>
        <v>2.6471428571428572</v>
      </c>
      <c r="M273" s="46">
        <f t="shared" si="72"/>
        <v>0.5359333333333333</v>
      </c>
      <c r="N273" s="46">
        <f t="shared" si="72"/>
        <v>0.7185757575757576</v>
      </c>
      <c r="O273" s="46">
        <f t="shared" si="72"/>
        <v>0.8694030303030302</v>
      </c>
      <c r="P273" s="46">
        <f t="shared" si="72"/>
        <v>0.7388666666666667</v>
      </c>
      <c r="Q273" s="47">
        <f t="shared" si="72"/>
        <v>1.1233333333333333</v>
      </c>
      <c r="R273" s="46">
        <f t="shared" si="72"/>
        <v>0.94008</v>
      </c>
      <c r="S273" s="47">
        <f t="shared" si="72"/>
        <v>0.6661111111111111</v>
      </c>
      <c r="T273" s="48"/>
      <c r="U273" s="49"/>
      <c r="V273" s="49"/>
      <c r="W273" s="49"/>
    </row>
    <row r="274" spans="1:23" s="1" customFormat="1" ht="11.25" customHeight="1">
      <c r="A274" s="182" t="s">
        <v>171</v>
      </c>
      <c r="B274" s="182"/>
      <c r="C274" s="182"/>
      <c r="D274" s="182"/>
      <c r="E274" s="178"/>
      <c r="F274" s="180"/>
      <c r="G274" s="180"/>
      <c r="H274" s="175"/>
      <c r="I274" s="175"/>
      <c r="J274" s="175"/>
      <c r="K274" s="175"/>
      <c r="L274" s="176"/>
      <c r="M274" s="175"/>
      <c r="N274" s="175"/>
      <c r="O274" s="175"/>
      <c r="P274" s="175"/>
      <c r="Q274" s="176"/>
      <c r="R274" s="175"/>
      <c r="S274" s="176"/>
      <c r="T274" s="48"/>
      <c r="U274" s="49"/>
      <c r="V274" s="49"/>
      <c r="W274" s="49"/>
    </row>
    <row r="275" spans="1:23" s="1" customFormat="1" ht="11.25" customHeight="1">
      <c r="A275" s="59"/>
      <c r="B275" s="59"/>
      <c r="C275" s="106"/>
      <c r="D275" s="106"/>
      <c r="E275" s="98"/>
      <c r="F275" s="75"/>
      <c r="G275" s="2"/>
      <c r="H275" s="2"/>
      <c r="I275" s="75"/>
      <c r="J275" s="75"/>
      <c r="K275" s="75"/>
      <c r="L275" s="223" t="s">
        <v>89</v>
      </c>
      <c r="M275" s="223"/>
      <c r="N275" s="223"/>
      <c r="O275" s="223"/>
      <c r="P275" s="223"/>
      <c r="Q275" s="223"/>
      <c r="R275" s="223"/>
      <c r="S275" s="223"/>
      <c r="T275" s="12"/>
      <c r="U275" s="19"/>
      <c r="V275" s="19"/>
      <c r="W275" s="19"/>
    </row>
    <row r="276" spans="1:23" s="1" customFormat="1" ht="11.25" customHeight="1">
      <c r="A276" s="236" t="s">
        <v>42</v>
      </c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13"/>
      <c r="U276" s="25"/>
      <c r="V276" s="25"/>
      <c r="W276" s="25"/>
    </row>
    <row r="277" spans="1:23" s="1" customFormat="1" ht="11.25" customHeight="1">
      <c r="A277" s="63" t="s">
        <v>67</v>
      </c>
      <c r="B277" s="59"/>
      <c r="C277" s="59"/>
      <c r="D277" s="2"/>
      <c r="E277" s="36"/>
      <c r="F277" s="224" t="s">
        <v>34</v>
      </c>
      <c r="G277" s="224"/>
      <c r="H277" s="224"/>
      <c r="I277" s="75"/>
      <c r="J277" s="75"/>
      <c r="K277" s="222" t="s">
        <v>1</v>
      </c>
      <c r="L277" s="222"/>
      <c r="M277" s="217" t="s">
        <v>85</v>
      </c>
      <c r="N277" s="217"/>
      <c r="O277" s="217"/>
      <c r="P277" s="217"/>
      <c r="Q277" s="75"/>
      <c r="R277" s="75"/>
      <c r="S277" s="75"/>
      <c r="T277" s="14"/>
      <c r="U277" s="20"/>
      <c r="V277" s="20"/>
      <c r="W277" s="20"/>
    </row>
    <row r="278" spans="1:23" s="1" customFormat="1" ht="11.25" customHeight="1">
      <c r="A278" s="59"/>
      <c r="B278" s="59"/>
      <c r="C278" s="59"/>
      <c r="D278" s="227" t="s">
        <v>2</v>
      </c>
      <c r="E278" s="227"/>
      <c r="F278" s="7">
        <v>2</v>
      </c>
      <c r="G278" s="75"/>
      <c r="H278" s="2"/>
      <c r="I278" s="2"/>
      <c r="J278" s="2"/>
      <c r="K278" s="227" t="s">
        <v>3</v>
      </c>
      <c r="L278" s="227"/>
      <c r="M278" s="228" t="s">
        <v>68</v>
      </c>
      <c r="N278" s="228"/>
      <c r="O278" s="228"/>
      <c r="P278" s="228"/>
      <c r="Q278" s="228"/>
      <c r="R278" s="228"/>
      <c r="S278" s="228"/>
      <c r="T278" s="15"/>
      <c r="U278" s="21"/>
      <c r="V278" s="21"/>
      <c r="W278" s="21"/>
    </row>
    <row r="279" spans="1:23" s="1" customFormat="1" ht="21.75" customHeight="1">
      <c r="A279" s="209" t="s">
        <v>4</v>
      </c>
      <c r="B279" s="211" t="s">
        <v>5</v>
      </c>
      <c r="C279" s="212"/>
      <c r="D279" s="209" t="s">
        <v>6</v>
      </c>
      <c r="E279" s="206" t="s">
        <v>7</v>
      </c>
      <c r="F279" s="207"/>
      <c r="G279" s="208"/>
      <c r="H279" s="209" t="s">
        <v>8</v>
      </c>
      <c r="I279" s="206" t="s">
        <v>9</v>
      </c>
      <c r="J279" s="207"/>
      <c r="K279" s="207"/>
      <c r="L279" s="207"/>
      <c r="M279" s="208"/>
      <c r="N279" s="206" t="s">
        <v>10</v>
      </c>
      <c r="O279" s="207"/>
      <c r="P279" s="207"/>
      <c r="Q279" s="207"/>
      <c r="R279" s="207"/>
      <c r="S279" s="208"/>
      <c r="T279" s="9"/>
      <c r="U279" s="22"/>
      <c r="V279" s="22"/>
      <c r="W279" s="22"/>
    </row>
    <row r="280" spans="1:23" s="1" customFormat="1" ht="21" customHeight="1">
      <c r="A280" s="210"/>
      <c r="B280" s="213"/>
      <c r="C280" s="214"/>
      <c r="D280" s="210"/>
      <c r="E280" s="96" t="s">
        <v>11</v>
      </c>
      <c r="F280" s="108" t="s">
        <v>12</v>
      </c>
      <c r="G280" s="108" t="s">
        <v>13</v>
      </c>
      <c r="H280" s="210"/>
      <c r="I280" s="108" t="s">
        <v>14</v>
      </c>
      <c r="J280" s="108" t="s">
        <v>69</v>
      </c>
      <c r="K280" s="108" t="s">
        <v>15</v>
      </c>
      <c r="L280" s="108" t="s">
        <v>16</v>
      </c>
      <c r="M280" s="108" t="s">
        <v>17</v>
      </c>
      <c r="N280" s="108" t="s">
        <v>18</v>
      </c>
      <c r="O280" s="108" t="s">
        <v>19</v>
      </c>
      <c r="P280" s="108" t="s">
        <v>70</v>
      </c>
      <c r="Q280" s="108" t="s">
        <v>71</v>
      </c>
      <c r="R280" s="108" t="s">
        <v>20</v>
      </c>
      <c r="S280" s="108" t="s">
        <v>21</v>
      </c>
      <c r="T280" s="9"/>
      <c r="U280" s="22"/>
      <c r="V280" s="22"/>
      <c r="W280" s="22"/>
    </row>
    <row r="281" spans="1:23" s="1" customFormat="1" ht="11.25" customHeight="1">
      <c r="A281" s="105">
        <v>1</v>
      </c>
      <c r="B281" s="198">
        <v>2</v>
      </c>
      <c r="C281" s="199"/>
      <c r="D281" s="39">
        <v>3</v>
      </c>
      <c r="E281" s="39">
        <v>4</v>
      </c>
      <c r="F281" s="39">
        <v>5</v>
      </c>
      <c r="G281" s="39">
        <v>6</v>
      </c>
      <c r="H281" s="39">
        <v>7</v>
      </c>
      <c r="I281" s="39">
        <v>8</v>
      </c>
      <c r="J281" s="39">
        <v>9</v>
      </c>
      <c r="K281" s="39">
        <v>10</v>
      </c>
      <c r="L281" s="39">
        <v>11</v>
      </c>
      <c r="M281" s="39">
        <v>12</v>
      </c>
      <c r="N281" s="39">
        <v>13</v>
      </c>
      <c r="O281" s="39">
        <v>14</v>
      </c>
      <c r="P281" s="39">
        <v>15</v>
      </c>
      <c r="Q281" s="39">
        <v>16</v>
      </c>
      <c r="R281" s="39">
        <v>17</v>
      </c>
      <c r="S281" s="39">
        <v>18</v>
      </c>
      <c r="T281" s="10"/>
      <c r="U281" s="23"/>
      <c r="V281" s="23"/>
      <c r="W281" s="23"/>
    </row>
    <row r="282" spans="1:23" s="1" customFormat="1" ht="11.25" customHeight="1">
      <c r="A282" s="203" t="s">
        <v>25</v>
      </c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5"/>
      <c r="T282" s="11"/>
      <c r="U282" s="24"/>
      <c r="V282" s="24"/>
      <c r="W282" s="24"/>
    </row>
    <row r="283" spans="1:23" s="3" customFormat="1" ht="11.25" customHeight="1">
      <c r="A283" s="113">
        <v>338</v>
      </c>
      <c r="B283" s="191" t="s">
        <v>168</v>
      </c>
      <c r="C283" s="191"/>
      <c r="D283" s="74">
        <v>100</v>
      </c>
      <c r="E283" s="76">
        <v>0.4</v>
      </c>
      <c r="F283" s="76">
        <v>0.4</v>
      </c>
      <c r="G283" s="76">
        <v>9.8</v>
      </c>
      <c r="H283" s="76">
        <f>E283*4+F283*9+G283*4</f>
        <v>44.400000000000006</v>
      </c>
      <c r="I283" s="76">
        <v>0.04</v>
      </c>
      <c r="J283" s="76">
        <v>0.02</v>
      </c>
      <c r="K283" s="74">
        <v>10</v>
      </c>
      <c r="L283" s="74">
        <v>0.02</v>
      </c>
      <c r="M283" s="76">
        <v>0.2</v>
      </c>
      <c r="N283" s="76">
        <v>16</v>
      </c>
      <c r="O283" s="76">
        <v>11</v>
      </c>
      <c r="P283" s="74">
        <v>0.03</v>
      </c>
      <c r="Q283" s="74">
        <v>0.002</v>
      </c>
      <c r="R283" s="76">
        <v>9</v>
      </c>
      <c r="S283" s="76">
        <v>2.2</v>
      </c>
      <c r="T283" s="11"/>
      <c r="U283" s="24"/>
      <c r="V283" s="24"/>
      <c r="W283" s="24"/>
    </row>
    <row r="284" spans="1:23" s="3" customFormat="1" ht="12.75" customHeight="1">
      <c r="A284" s="105"/>
      <c r="B284" s="192" t="s">
        <v>43</v>
      </c>
      <c r="C284" s="193"/>
      <c r="D284" s="74">
        <v>30</v>
      </c>
      <c r="E284" s="76">
        <v>1.5</v>
      </c>
      <c r="F284" s="76"/>
      <c r="G284" s="76">
        <v>11.4</v>
      </c>
      <c r="H284" s="76">
        <f>E284*4+F284*9+G284*4</f>
        <v>51.6</v>
      </c>
      <c r="I284" s="72">
        <v>0.01</v>
      </c>
      <c r="J284" s="72">
        <v>0.08</v>
      </c>
      <c r="K284" s="76">
        <v>0.2</v>
      </c>
      <c r="L284" s="72">
        <v>0.01</v>
      </c>
      <c r="M284" s="72">
        <v>0.04</v>
      </c>
      <c r="N284" s="72">
        <v>61.4</v>
      </c>
      <c r="O284" s="72">
        <v>43.8</v>
      </c>
      <c r="P284" s="72">
        <v>0.2</v>
      </c>
      <c r="Q284" s="72">
        <v>0.001</v>
      </c>
      <c r="R284" s="72">
        <v>6.8</v>
      </c>
      <c r="S284" s="72">
        <v>0.04</v>
      </c>
      <c r="T284" s="30"/>
      <c r="U284" s="31"/>
      <c r="V284" s="31"/>
      <c r="W284" s="31"/>
    </row>
    <row r="285" spans="1:23" s="3" customFormat="1" ht="21.75" customHeight="1">
      <c r="A285" s="105">
        <v>223</v>
      </c>
      <c r="B285" s="192" t="s">
        <v>82</v>
      </c>
      <c r="C285" s="193"/>
      <c r="D285" s="74">
        <v>170</v>
      </c>
      <c r="E285" s="76">
        <f>15.23*D285/170</f>
        <v>15.229999999999999</v>
      </c>
      <c r="F285" s="76">
        <f>17.48*D285/170</f>
        <v>17.48</v>
      </c>
      <c r="G285" s="76">
        <f>36.71*D285/170</f>
        <v>36.71</v>
      </c>
      <c r="H285" s="76">
        <f>E285*4+F285*9+G285*4</f>
        <v>365.08</v>
      </c>
      <c r="I285" s="76">
        <f>D285*0.11/200</f>
        <v>0.0935</v>
      </c>
      <c r="J285" s="76">
        <f>D285*0.39/200</f>
        <v>0.33149999999999996</v>
      </c>
      <c r="K285" s="76">
        <f>D285*0.56/200</f>
        <v>0.47600000000000003</v>
      </c>
      <c r="L285" s="76">
        <f>D285*0.26/200</f>
        <v>0.221</v>
      </c>
      <c r="M285" s="76">
        <v>1.8</v>
      </c>
      <c r="N285" s="76">
        <f>D285*169.02/200</f>
        <v>143.667</v>
      </c>
      <c r="O285" s="73">
        <f>D285*341.85/200</f>
        <v>290.57250000000005</v>
      </c>
      <c r="P285" s="73">
        <v>2.2</v>
      </c>
      <c r="Q285" s="77">
        <v>0.008</v>
      </c>
      <c r="R285" s="76">
        <f>D285*57.07/200</f>
        <v>48.509499999999996</v>
      </c>
      <c r="S285" s="76">
        <f>D285*1.54/200</f>
        <v>1.3090000000000002</v>
      </c>
      <c r="T285" s="78"/>
      <c r="U285" s="79"/>
      <c r="V285" s="79"/>
      <c r="W285" s="79"/>
    </row>
    <row r="286" spans="1:23" s="3" customFormat="1" ht="11.25" customHeight="1">
      <c r="A286" s="167">
        <v>376</v>
      </c>
      <c r="B286" s="191" t="s">
        <v>80</v>
      </c>
      <c r="C286" s="191"/>
      <c r="D286" s="74">
        <v>200</v>
      </c>
      <c r="E286" s="76">
        <v>0.2</v>
      </c>
      <c r="F286" s="76">
        <v>0.05</v>
      </c>
      <c r="G286" s="76">
        <v>15.01</v>
      </c>
      <c r="H286" s="76">
        <f>E286*4+F286*9+G286*4</f>
        <v>61.29</v>
      </c>
      <c r="I286" s="74">
        <v>0</v>
      </c>
      <c r="J286" s="76">
        <v>0.01</v>
      </c>
      <c r="K286" s="76">
        <v>9</v>
      </c>
      <c r="L286" s="80">
        <v>0.0001</v>
      </c>
      <c r="M286" s="77">
        <v>0.045</v>
      </c>
      <c r="N286" s="76">
        <v>5.25</v>
      </c>
      <c r="O286" s="76">
        <v>8.24</v>
      </c>
      <c r="P286" s="77">
        <v>0.008</v>
      </c>
      <c r="Q286" s="74">
        <v>0</v>
      </c>
      <c r="R286" s="73">
        <v>4.4</v>
      </c>
      <c r="S286" s="76">
        <v>0.87</v>
      </c>
      <c r="T286" s="78"/>
      <c r="U286" s="79"/>
      <c r="V286" s="79"/>
      <c r="W286" s="79"/>
    </row>
    <row r="287" spans="1:23" s="3" customFormat="1" ht="11.25" customHeight="1">
      <c r="A287" s="82" t="s">
        <v>90</v>
      </c>
      <c r="B287" s="192" t="s">
        <v>62</v>
      </c>
      <c r="C287" s="193"/>
      <c r="D287" s="74">
        <v>40</v>
      </c>
      <c r="E287" s="76">
        <f>1.52*D287/30</f>
        <v>2.0266666666666664</v>
      </c>
      <c r="F287" s="77">
        <f>0.16*D287/30</f>
        <v>0.21333333333333335</v>
      </c>
      <c r="G287" s="77">
        <f>9.84*D287/30</f>
        <v>13.120000000000001</v>
      </c>
      <c r="H287" s="77">
        <f>E287*4+F287*9+G287*4</f>
        <v>62.50666666666667</v>
      </c>
      <c r="I287" s="77">
        <f>0.02*D287/30</f>
        <v>0.02666666666666667</v>
      </c>
      <c r="J287" s="77">
        <f>0.01*D287/30</f>
        <v>0.013333333333333334</v>
      </c>
      <c r="K287" s="77">
        <f>0.44*D287/30</f>
        <v>0.5866666666666667</v>
      </c>
      <c r="L287" s="77">
        <v>0</v>
      </c>
      <c r="M287" s="77">
        <f>0.7*D287/30</f>
        <v>0.9333333333333333</v>
      </c>
      <c r="N287" s="77">
        <f>4*D287/30</f>
        <v>5.333333333333333</v>
      </c>
      <c r="O287" s="77">
        <f>13*D287/30</f>
        <v>17.333333333333332</v>
      </c>
      <c r="P287" s="77">
        <f>0.008*D287/30</f>
        <v>0.010666666666666666</v>
      </c>
      <c r="Q287" s="77">
        <f>0.001*D287/30</f>
        <v>0.0013333333333333333</v>
      </c>
      <c r="R287" s="77">
        <v>0</v>
      </c>
      <c r="S287" s="77">
        <f>0.22*D287/30</f>
        <v>0.29333333333333333</v>
      </c>
      <c r="T287" s="78"/>
      <c r="U287" s="79"/>
      <c r="V287" s="79"/>
      <c r="W287" s="79"/>
    </row>
    <row r="288" spans="1:23" s="3" customFormat="1" ht="11.25" customHeight="1">
      <c r="A288" s="68" t="s">
        <v>26</v>
      </c>
      <c r="B288" s="69"/>
      <c r="C288" s="69"/>
      <c r="D288" s="130">
        <f>SUM(D283:D287)</f>
        <v>540</v>
      </c>
      <c r="E288" s="41">
        <f aca="true" t="shared" si="73" ref="E288:S288">SUM(E283:E287)</f>
        <v>19.356666666666666</v>
      </c>
      <c r="F288" s="41">
        <f t="shared" si="73"/>
        <v>18.143333333333334</v>
      </c>
      <c r="G288" s="41">
        <f t="shared" si="73"/>
        <v>86.04</v>
      </c>
      <c r="H288" s="41">
        <f t="shared" si="73"/>
        <v>584.8766666666667</v>
      </c>
      <c r="I288" s="41">
        <f t="shared" si="73"/>
        <v>0.1701666666666667</v>
      </c>
      <c r="J288" s="41">
        <f t="shared" si="73"/>
        <v>0.4548333333333333</v>
      </c>
      <c r="K288" s="41">
        <f t="shared" si="73"/>
        <v>20.262666666666668</v>
      </c>
      <c r="L288" s="41">
        <f t="shared" si="73"/>
        <v>0.2511</v>
      </c>
      <c r="M288" s="41">
        <f t="shared" si="73"/>
        <v>3.0183333333333335</v>
      </c>
      <c r="N288" s="41">
        <f t="shared" si="73"/>
        <v>231.65033333333335</v>
      </c>
      <c r="O288" s="41">
        <f t="shared" si="73"/>
        <v>370.9458333333334</v>
      </c>
      <c r="P288" s="41">
        <f t="shared" si="73"/>
        <v>2.448666666666667</v>
      </c>
      <c r="Q288" s="41">
        <f t="shared" si="73"/>
        <v>0.012333333333333333</v>
      </c>
      <c r="R288" s="41">
        <f t="shared" si="73"/>
        <v>68.7095</v>
      </c>
      <c r="S288" s="41">
        <f t="shared" si="73"/>
        <v>4.7123333333333335</v>
      </c>
      <c r="T288" s="40"/>
      <c r="U288" s="43"/>
      <c r="V288" s="43"/>
      <c r="W288" s="43"/>
    </row>
    <row r="289" spans="1:23" s="3" customFormat="1" ht="11.25" customHeight="1">
      <c r="A289" s="229" t="s">
        <v>77</v>
      </c>
      <c r="B289" s="230"/>
      <c r="C289" s="230"/>
      <c r="D289" s="231"/>
      <c r="E289" s="102">
        <f aca="true" t="shared" si="74" ref="E289:S289">E288/E308</f>
        <v>0.2513852813852814</v>
      </c>
      <c r="F289" s="46">
        <f t="shared" si="74"/>
        <v>0.22966244725738397</v>
      </c>
      <c r="G289" s="46">
        <f t="shared" si="74"/>
        <v>0.2568358208955224</v>
      </c>
      <c r="H289" s="46">
        <f t="shared" si="74"/>
        <v>0.2488836879432624</v>
      </c>
      <c r="I289" s="46">
        <f t="shared" si="74"/>
        <v>0.14180555555555557</v>
      </c>
      <c r="J289" s="46">
        <f t="shared" si="74"/>
        <v>0.3248809523809524</v>
      </c>
      <c r="K289" s="46">
        <f t="shared" si="74"/>
        <v>0.33771111111111113</v>
      </c>
      <c r="L289" s="46">
        <f t="shared" si="74"/>
        <v>0.3587142857142857</v>
      </c>
      <c r="M289" s="46">
        <f t="shared" si="74"/>
        <v>0.30183333333333334</v>
      </c>
      <c r="N289" s="46">
        <f t="shared" si="74"/>
        <v>0.21059121212121212</v>
      </c>
      <c r="O289" s="46">
        <f t="shared" si="74"/>
        <v>0.3372234848484849</v>
      </c>
      <c r="P289" s="46">
        <f t="shared" si="74"/>
        <v>0.2448666666666667</v>
      </c>
      <c r="Q289" s="46">
        <f t="shared" si="74"/>
        <v>0.12333333333333332</v>
      </c>
      <c r="R289" s="46">
        <f t="shared" si="74"/>
        <v>0.274838</v>
      </c>
      <c r="S289" s="46">
        <f t="shared" si="74"/>
        <v>0.39269444444444446</v>
      </c>
      <c r="T289" s="51"/>
      <c r="U289" s="43"/>
      <c r="V289" s="43"/>
      <c r="W289" s="43"/>
    </row>
    <row r="290" spans="1:23" s="3" customFormat="1" ht="11.25" customHeight="1">
      <c r="A290" s="200" t="s">
        <v>27</v>
      </c>
      <c r="B290" s="201"/>
      <c r="C290" s="201"/>
      <c r="D290" s="201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2"/>
      <c r="T290" s="16"/>
      <c r="U290" s="26"/>
      <c r="V290" s="26"/>
      <c r="W290" s="26"/>
    </row>
    <row r="291" spans="1:23" s="75" customFormat="1" ht="23.25" customHeight="1">
      <c r="A291" s="149" t="s">
        <v>143</v>
      </c>
      <c r="B291" s="244" t="s">
        <v>132</v>
      </c>
      <c r="C291" s="245"/>
      <c r="D291" s="143">
        <v>60</v>
      </c>
      <c r="E291" s="144">
        <f>0.94*D291/60</f>
        <v>0.94</v>
      </c>
      <c r="F291" s="143">
        <f>7.22*D291/60</f>
        <v>7.22</v>
      </c>
      <c r="G291" s="143">
        <f>5.27*D291/60</f>
        <v>5.27</v>
      </c>
      <c r="H291" s="145">
        <f aca="true" t="shared" si="75" ref="H291:H297">E291*4+F291*9+G291*4</f>
        <v>89.82000000000001</v>
      </c>
      <c r="I291" s="143">
        <f>0.03*D291/60</f>
        <v>0.029999999999999995</v>
      </c>
      <c r="J291" s="143">
        <f>0.03*D291/60</f>
        <v>0.029999999999999995</v>
      </c>
      <c r="K291" s="144">
        <f>12.4*D291/60</f>
        <v>12.4</v>
      </c>
      <c r="L291" s="143">
        <f>0.001*D291/60</f>
        <v>0.001</v>
      </c>
      <c r="M291" s="143">
        <f>1.5*D291/60</f>
        <v>1.5</v>
      </c>
      <c r="N291" s="143">
        <f>19.7*D291/60</f>
        <v>19.7</v>
      </c>
      <c r="O291" s="146">
        <f>20.31*D291/60</f>
        <v>20.31</v>
      </c>
      <c r="P291" s="143">
        <f>0.3*D291/60</f>
        <v>0.3</v>
      </c>
      <c r="Q291" s="143">
        <f>0.001*D291/60</f>
        <v>0.001</v>
      </c>
      <c r="R291" s="143">
        <f>9.98*D291/60</f>
        <v>9.98</v>
      </c>
      <c r="S291" s="143">
        <f>0.34*D291/60</f>
        <v>0.34</v>
      </c>
      <c r="T291" s="16"/>
      <c r="U291" s="26"/>
      <c r="V291" s="26"/>
      <c r="W291" s="26"/>
    </row>
    <row r="292" spans="1:23" s="75" customFormat="1" ht="19.5" customHeight="1">
      <c r="A292" s="105">
        <v>45</v>
      </c>
      <c r="B292" s="191" t="s">
        <v>130</v>
      </c>
      <c r="C292" s="191"/>
      <c r="D292" s="74">
        <v>60</v>
      </c>
      <c r="E292" s="76">
        <f>0.9*D292/60</f>
        <v>0.9</v>
      </c>
      <c r="F292" s="76">
        <f>1.31*D292/60</f>
        <v>1.31</v>
      </c>
      <c r="G292" s="76">
        <f>5.6*D292/60</f>
        <v>5.6</v>
      </c>
      <c r="H292" s="76">
        <f t="shared" si="75"/>
        <v>37.79</v>
      </c>
      <c r="I292" s="76">
        <f>0.06*D292/60</f>
        <v>0.05999999999999999</v>
      </c>
      <c r="J292" s="76">
        <f>0.07*D292/60</f>
        <v>0.07</v>
      </c>
      <c r="K292" s="76">
        <f>15.5*D292/60</f>
        <v>15.5</v>
      </c>
      <c r="L292" s="77">
        <f>0.071*D292/60</f>
        <v>0.071</v>
      </c>
      <c r="M292" s="76">
        <f>0.3*D292/60</f>
        <v>0.3</v>
      </c>
      <c r="N292" s="76">
        <f>28.2*D292/60</f>
        <v>28.2</v>
      </c>
      <c r="O292" s="76">
        <f>18.9*D292/60</f>
        <v>18.9</v>
      </c>
      <c r="P292" s="76">
        <f>0.2*D292/60</f>
        <v>0.2</v>
      </c>
      <c r="Q292" s="77">
        <f>0.001*D292/60</f>
        <v>0.001</v>
      </c>
      <c r="R292" s="76">
        <f>10.5*D292/60</f>
        <v>10.5</v>
      </c>
      <c r="S292" s="76">
        <f>0.6*D292/60</f>
        <v>0.6</v>
      </c>
      <c r="T292" s="78"/>
      <c r="U292" s="79"/>
      <c r="V292" s="79"/>
      <c r="W292" s="79"/>
    </row>
    <row r="293" spans="1:23" s="3" customFormat="1" ht="11.25">
      <c r="A293" s="82">
        <v>108</v>
      </c>
      <c r="B293" s="192" t="s">
        <v>141</v>
      </c>
      <c r="C293" s="193"/>
      <c r="D293" s="72">
        <v>200</v>
      </c>
      <c r="E293" s="76">
        <f>2.52*D293/200</f>
        <v>2.52</v>
      </c>
      <c r="F293" s="77">
        <f>2.84*D293/200</f>
        <v>2.84</v>
      </c>
      <c r="G293" s="77">
        <f>16.67*D293/200</f>
        <v>16.67</v>
      </c>
      <c r="H293" s="76">
        <f t="shared" si="75"/>
        <v>102.32000000000001</v>
      </c>
      <c r="I293" s="77">
        <f>0.07*D293/200</f>
        <v>0.07</v>
      </c>
      <c r="J293" s="77">
        <f>0.06*D293/200</f>
        <v>0.06</v>
      </c>
      <c r="K293" s="77">
        <f>9.05*D293/200</f>
        <v>9.05</v>
      </c>
      <c r="L293" s="77">
        <f>0.047*D293/200</f>
        <v>0.047</v>
      </c>
      <c r="M293" s="77">
        <f>0.7*D293/200</f>
        <v>0.7</v>
      </c>
      <c r="N293" s="77">
        <f>20.59*D293/200</f>
        <v>20.59</v>
      </c>
      <c r="O293" s="77">
        <f>48.19*D293/200</f>
        <v>48.19</v>
      </c>
      <c r="P293" s="77">
        <f>0.2*D293/200</f>
        <v>0.2</v>
      </c>
      <c r="Q293" s="77">
        <f>0.001*D293/200</f>
        <v>0.001</v>
      </c>
      <c r="R293" s="77">
        <f>14.56*D293/200</f>
        <v>14.56</v>
      </c>
      <c r="S293" s="77">
        <f>0.74*D293/200</f>
        <v>0.74</v>
      </c>
      <c r="T293" s="78"/>
      <c r="U293" s="79"/>
      <c r="V293" s="79"/>
      <c r="W293" s="79"/>
    </row>
    <row r="294" spans="1:23" s="3" customFormat="1" ht="13.5" customHeight="1">
      <c r="A294" s="105">
        <v>259</v>
      </c>
      <c r="B294" s="192" t="s">
        <v>58</v>
      </c>
      <c r="C294" s="193"/>
      <c r="D294" s="74">
        <v>240</v>
      </c>
      <c r="E294" s="76">
        <f>D294*14.27/200</f>
        <v>17.124</v>
      </c>
      <c r="F294" s="76">
        <f>D294*15.01/200</f>
        <v>18.012</v>
      </c>
      <c r="G294" s="76">
        <f>D294*25.51/200</f>
        <v>30.612000000000002</v>
      </c>
      <c r="H294" s="76">
        <f t="shared" si="75"/>
        <v>353.052</v>
      </c>
      <c r="I294" s="76">
        <f>D294*0.22/200</f>
        <v>0.264</v>
      </c>
      <c r="J294" s="76">
        <f>D294*0.2/200</f>
        <v>0.24</v>
      </c>
      <c r="K294" s="76">
        <f>D294*31.3/200</f>
        <v>37.56</v>
      </c>
      <c r="L294" s="77">
        <v>0.07</v>
      </c>
      <c r="M294" s="72">
        <v>0.42</v>
      </c>
      <c r="N294" s="76">
        <f>D294*42.2/200</f>
        <v>50.64</v>
      </c>
      <c r="O294" s="73">
        <f>D294*218.18/200</f>
        <v>261.81600000000003</v>
      </c>
      <c r="P294" s="73">
        <v>4.2</v>
      </c>
      <c r="Q294" s="77">
        <v>0.0017</v>
      </c>
      <c r="R294" s="76">
        <f>D294*55.87/200</f>
        <v>67.044</v>
      </c>
      <c r="S294" s="76">
        <f>D294*3.32/200</f>
        <v>3.984</v>
      </c>
      <c r="T294" s="78"/>
      <c r="U294" s="79"/>
      <c r="V294" s="79"/>
      <c r="W294" s="79"/>
    </row>
    <row r="295" spans="1:23" s="3" customFormat="1" ht="12.75" customHeight="1">
      <c r="A295" s="167">
        <v>389</v>
      </c>
      <c r="B295" s="192" t="s">
        <v>129</v>
      </c>
      <c r="C295" s="193"/>
      <c r="D295" s="74">
        <v>200</v>
      </c>
      <c r="E295" s="76">
        <v>1</v>
      </c>
      <c r="F295" s="76">
        <v>0.2</v>
      </c>
      <c r="G295" s="76">
        <v>20.2</v>
      </c>
      <c r="H295" s="76">
        <f>E295*4+F295*9+G295*4</f>
        <v>86.6</v>
      </c>
      <c r="I295" s="72">
        <v>0.02</v>
      </c>
      <c r="J295" s="72">
        <v>0.02</v>
      </c>
      <c r="K295" s="73">
        <v>4.8</v>
      </c>
      <c r="L295" s="72">
        <v>0</v>
      </c>
      <c r="M295" s="72">
        <v>0</v>
      </c>
      <c r="N295" s="73">
        <v>14</v>
      </c>
      <c r="O295" s="73">
        <v>18</v>
      </c>
      <c r="P295" s="73">
        <v>0.03</v>
      </c>
      <c r="Q295" s="73">
        <v>0</v>
      </c>
      <c r="R295" s="73">
        <v>8</v>
      </c>
      <c r="S295" s="76">
        <v>0.72</v>
      </c>
      <c r="T295" s="78"/>
      <c r="U295" s="79"/>
      <c r="V295" s="79"/>
      <c r="W295" s="79"/>
    </row>
    <row r="296" spans="1:23" s="3" customFormat="1" ht="11.25" customHeight="1">
      <c r="A296" s="83" t="s">
        <v>90</v>
      </c>
      <c r="B296" s="192" t="s">
        <v>48</v>
      </c>
      <c r="C296" s="193"/>
      <c r="D296" s="74">
        <v>40</v>
      </c>
      <c r="E296" s="76">
        <f>2.64*D296/40</f>
        <v>2.64</v>
      </c>
      <c r="F296" s="76">
        <f>0.48*D296/40</f>
        <v>0.48</v>
      </c>
      <c r="G296" s="76">
        <f>13.68*D296/40</f>
        <v>13.680000000000001</v>
      </c>
      <c r="H296" s="73">
        <f t="shared" si="75"/>
        <v>69.60000000000001</v>
      </c>
      <c r="I296" s="72">
        <f>0.08*D296/40</f>
        <v>0.08</v>
      </c>
      <c r="J296" s="76">
        <f>0.04*D296/40</f>
        <v>0.04</v>
      </c>
      <c r="K296" s="74">
        <v>0</v>
      </c>
      <c r="L296" s="74">
        <v>0</v>
      </c>
      <c r="M296" s="76">
        <f>2.4*D296/40</f>
        <v>2.4</v>
      </c>
      <c r="N296" s="76">
        <f>14*D296/40</f>
        <v>14</v>
      </c>
      <c r="O296" s="76">
        <f>63.2*D296/40</f>
        <v>63.2</v>
      </c>
      <c r="P296" s="76">
        <f>1.2*D296/40</f>
        <v>1.2</v>
      </c>
      <c r="Q296" s="77">
        <f>0.001*D296/40</f>
        <v>0.001</v>
      </c>
      <c r="R296" s="76">
        <f>9.4*D296/40</f>
        <v>9.4</v>
      </c>
      <c r="S296" s="72">
        <f>0.78*D296/40</f>
        <v>0.78</v>
      </c>
      <c r="T296" s="30"/>
      <c r="U296" s="31"/>
      <c r="V296" s="31"/>
      <c r="W296" s="31"/>
    </row>
    <row r="297" spans="1:23" s="3" customFormat="1" ht="11.25" customHeight="1">
      <c r="A297" s="82" t="s">
        <v>90</v>
      </c>
      <c r="B297" s="192" t="s">
        <v>62</v>
      </c>
      <c r="C297" s="193"/>
      <c r="D297" s="74">
        <v>30</v>
      </c>
      <c r="E297" s="76">
        <f>1.52*D297/30</f>
        <v>1.52</v>
      </c>
      <c r="F297" s="77">
        <f>0.16*D297/30</f>
        <v>0.16</v>
      </c>
      <c r="G297" s="77">
        <f>9.84*D297/30</f>
        <v>9.84</v>
      </c>
      <c r="H297" s="77">
        <f t="shared" si="75"/>
        <v>46.879999999999995</v>
      </c>
      <c r="I297" s="77">
        <f>0.02*D297/30</f>
        <v>0.02</v>
      </c>
      <c r="J297" s="77">
        <f>0.01*D297/30</f>
        <v>0.01</v>
      </c>
      <c r="K297" s="77">
        <f>0.44*D297/30</f>
        <v>0.44</v>
      </c>
      <c r="L297" s="77">
        <v>0</v>
      </c>
      <c r="M297" s="77">
        <f>0.7*D297/30</f>
        <v>0.7</v>
      </c>
      <c r="N297" s="77">
        <f>4*D297/30</f>
        <v>4</v>
      </c>
      <c r="O297" s="77">
        <f>13*D297/30</f>
        <v>13</v>
      </c>
      <c r="P297" s="77">
        <f>0.008*D297/30</f>
        <v>0.008</v>
      </c>
      <c r="Q297" s="77">
        <f>0.001*D297/30</f>
        <v>0.001</v>
      </c>
      <c r="R297" s="77">
        <v>0</v>
      </c>
      <c r="S297" s="77">
        <f>0.22*D297/30</f>
        <v>0.22</v>
      </c>
      <c r="T297" s="78"/>
      <c r="U297" s="79"/>
      <c r="V297" s="79"/>
      <c r="W297" s="79"/>
    </row>
    <row r="298" spans="1:23" s="3" customFormat="1" ht="11.25" customHeight="1">
      <c r="A298" s="66" t="s">
        <v>28</v>
      </c>
      <c r="B298" s="67"/>
      <c r="C298" s="67"/>
      <c r="D298" s="171">
        <f>SUM(D292:D297)</f>
        <v>770</v>
      </c>
      <c r="E298" s="41">
        <f>SUM(E292:E297)</f>
        <v>25.703999999999997</v>
      </c>
      <c r="F298" s="40">
        <f>SUM(F292:F297)</f>
        <v>23.002</v>
      </c>
      <c r="G298" s="40">
        <f>SUM(G292:G297)</f>
        <v>96.60200000000002</v>
      </c>
      <c r="H298" s="40">
        <f>SUM(H292:H297)</f>
        <v>696.2420000000001</v>
      </c>
      <c r="I298" s="41">
        <f aca="true" t="shared" si="76" ref="I298:S298">SUM(I292:I297)</f>
        <v>0.514</v>
      </c>
      <c r="J298" s="41">
        <f t="shared" si="76"/>
        <v>0.44</v>
      </c>
      <c r="K298" s="40">
        <f t="shared" si="76"/>
        <v>67.35</v>
      </c>
      <c r="L298" s="41">
        <f t="shared" si="76"/>
        <v>0.188</v>
      </c>
      <c r="M298" s="42">
        <f t="shared" si="76"/>
        <v>4.52</v>
      </c>
      <c r="N298" s="41">
        <f t="shared" si="76"/>
        <v>131.43</v>
      </c>
      <c r="O298" s="40">
        <f t="shared" si="76"/>
        <v>423.10600000000005</v>
      </c>
      <c r="P298" s="41">
        <f t="shared" si="76"/>
        <v>5.838000000000001</v>
      </c>
      <c r="Q298" s="41">
        <f t="shared" si="76"/>
        <v>0.0057</v>
      </c>
      <c r="R298" s="41">
        <f t="shared" si="76"/>
        <v>109.504</v>
      </c>
      <c r="S298" s="41">
        <f t="shared" si="76"/>
        <v>7.044</v>
      </c>
      <c r="T298" s="40"/>
      <c r="U298" s="43"/>
      <c r="V298" s="43"/>
      <c r="W298" s="43"/>
    </row>
    <row r="299" spans="1:23" s="3" customFormat="1" ht="11.25" customHeight="1">
      <c r="A299" s="229" t="s">
        <v>77</v>
      </c>
      <c r="B299" s="230"/>
      <c r="C299" s="230"/>
      <c r="D299" s="231"/>
      <c r="E299" s="102">
        <f>E298/E308</f>
        <v>0.3338181818181818</v>
      </c>
      <c r="F299" s="46">
        <f aca="true" t="shared" si="77" ref="F299:S299">F298/F308</f>
        <v>0.2911645569620253</v>
      </c>
      <c r="G299" s="46">
        <f t="shared" si="77"/>
        <v>0.28836417910447765</v>
      </c>
      <c r="H299" s="46">
        <f t="shared" si="77"/>
        <v>0.2962731914893617</v>
      </c>
      <c r="I299" s="46">
        <f t="shared" si="77"/>
        <v>0.42833333333333334</v>
      </c>
      <c r="J299" s="46">
        <f t="shared" si="77"/>
        <v>0.31428571428571433</v>
      </c>
      <c r="K299" s="46">
        <f t="shared" si="77"/>
        <v>1.1224999999999998</v>
      </c>
      <c r="L299" s="46">
        <f t="shared" si="77"/>
        <v>0.26857142857142857</v>
      </c>
      <c r="M299" s="46">
        <f t="shared" si="77"/>
        <v>0.45199999999999996</v>
      </c>
      <c r="N299" s="46">
        <f t="shared" si="77"/>
        <v>0.11948181818181819</v>
      </c>
      <c r="O299" s="46">
        <f t="shared" si="77"/>
        <v>0.38464181818181825</v>
      </c>
      <c r="P299" s="46">
        <f t="shared" si="77"/>
        <v>0.5838000000000001</v>
      </c>
      <c r="Q299" s="46">
        <f t="shared" si="77"/>
        <v>0.057</v>
      </c>
      <c r="R299" s="46">
        <f t="shared" si="77"/>
        <v>0.438016</v>
      </c>
      <c r="S299" s="46">
        <f t="shared" si="77"/>
        <v>0.587</v>
      </c>
      <c r="T299" s="51"/>
      <c r="U299" s="43"/>
      <c r="V299" s="43"/>
      <c r="W299" s="43"/>
    </row>
    <row r="300" spans="1:23" s="75" customFormat="1" ht="11.25" customHeight="1">
      <c r="A300" s="160" t="s">
        <v>109</v>
      </c>
      <c r="B300" s="161"/>
      <c r="C300" s="161"/>
      <c r="D300" s="161"/>
      <c r="E300" s="41">
        <f>E291+E293+E294+E295+E296+E297</f>
        <v>25.744</v>
      </c>
      <c r="F300" s="41">
        <f aca="true" t="shared" si="78" ref="F300:S300">F291+F293+F294+F295+F296+F297</f>
        <v>28.912</v>
      </c>
      <c r="G300" s="41">
        <f t="shared" si="78"/>
        <v>96.27200000000002</v>
      </c>
      <c r="H300" s="41">
        <f t="shared" si="78"/>
        <v>748.272</v>
      </c>
      <c r="I300" s="41">
        <f t="shared" si="78"/>
        <v>0.48400000000000004</v>
      </c>
      <c r="J300" s="41">
        <f t="shared" si="78"/>
        <v>0.39999999999999997</v>
      </c>
      <c r="K300" s="41">
        <f t="shared" si="78"/>
        <v>64.25</v>
      </c>
      <c r="L300" s="41">
        <f t="shared" si="78"/>
        <v>0.11800000000000001</v>
      </c>
      <c r="M300" s="41">
        <f t="shared" si="78"/>
        <v>5.72</v>
      </c>
      <c r="N300" s="41">
        <f t="shared" si="78"/>
        <v>122.93</v>
      </c>
      <c r="O300" s="41">
        <f t="shared" si="78"/>
        <v>424.516</v>
      </c>
      <c r="P300" s="41">
        <f t="shared" si="78"/>
        <v>5.938000000000001</v>
      </c>
      <c r="Q300" s="41">
        <f t="shared" si="78"/>
        <v>0.0057</v>
      </c>
      <c r="R300" s="41">
        <f t="shared" si="78"/>
        <v>108.98400000000001</v>
      </c>
      <c r="S300" s="41">
        <f t="shared" si="78"/>
        <v>6.784</v>
      </c>
      <c r="T300" s="51"/>
      <c r="U300" s="43"/>
      <c r="V300" s="43"/>
      <c r="W300" s="43"/>
    </row>
    <row r="301" spans="1:23" s="3" customFormat="1" ht="11.25" customHeight="1">
      <c r="A301" s="203" t="s">
        <v>29</v>
      </c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5"/>
      <c r="T301" s="11"/>
      <c r="U301" s="24"/>
      <c r="V301" s="24"/>
      <c r="W301" s="24"/>
    </row>
    <row r="302" spans="1:23" s="75" customFormat="1" ht="13.5" customHeight="1">
      <c r="A302" s="105">
        <v>341</v>
      </c>
      <c r="B302" s="194" t="s">
        <v>136</v>
      </c>
      <c r="C302" s="195"/>
      <c r="D302" s="74">
        <v>100</v>
      </c>
      <c r="E302" s="76">
        <f>0.39*D302/60</f>
        <v>0.65</v>
      </c>
      <c r="F302" s="76">
        <f>0.18*D302/60</f>
        <v>0.3</v>
      </c>
      <c r="G302" s="76">
        <f>5.37*D302/60</f>
        <v>8.95</v>
      </c>
      <c r="H302" s="76">
        <f>E302*4+F302*9+G302*4</f>
        <v>41.099999999999994</v>
      </c>
      <c r="I302" s="77">
        <f>0.02*D302/60</f>
        <v>0.03333333333333333</v>
      </c>
      <c r="J302" s="76">
        <f>0.02*D302/60</f>
        <v>0.03333333333333333</v>
      </c>
      <c r="K302" s="76">
        <f>22.95*D302/60</f>
        <v>38.25</v>
      </c>
      <c r="L302" s="77">
        <f>0.02*D302/60</f>
        <v>0.03333333333333333</v>
      </c>
      <c r="M302" s="72">
        <f>0.6*D302/60</f>
        <v>1</v>
      </c>
      <c r="N302" s="73">
        <f>15*D302/60</f>
        <v>25</v>
      </c>
      <c r="O302" s="76">
        <f>10.2*D302/60</f>
        <v>16.999999999999996</v>
      </c>
      <c r="P302" s="76">
        <f>0.13*D302/60</f>
        <v>0.21666666666666667</v>
      </c>
      <c r="Q302" s="77">
        <f>0.001*D302/60</f>
        <v>0.0016666666666666668</v>
      </c>
      <c r="R302" s="76">
        <f>6.6*D302/60</f>
        <v>11</v>
      </c>
      <c r="S302" s="76">
        <f>0.75*D302/60</f>
        <v>1.25</v>
      </c>
      <c r="T302" s="11"/>
      <c r="U302" s="24"/>
      <c r="V302" s="24"/>
      <c r="W302" s="24"/>
    </row>
    <row r="303" spans="1:23" s="3" customFormat="1" ht="12.75" customHeight="1">
      <c r="A303" s="95"/>
      <c r="B303" s="191" t="s">
        <v>57</v>
      </c>
      <c r="C303" s="191"/>
      <c r="D303" s="74">
        <v>20</v>
      </c>
      <c r="E303" s="76">
        <v>1.7</v>
      </c>
      <c r="F303" s="72">
        <v>2.26</v>
      </c>
      <c r="G303" s="73">
        <v>13.8</v>
      </c>
      <c r="H303" s="76">
        <f>E303*4+F303*9+G303*4</f>
        <v>82.34</v>
      </c>
      <c r="I303" s="72">
        <v>0.02</v>
      </c>
      <c r="J303" s="72">
        <v>0.01</v>
      </c>
      <c r="K303" s="72">
        <v>0</v>
      </c>
      <c r="L303" s="76">
        <v>0</v>
      </c>
      <c r="M303" s="72">
        <v>0.2</v>
      </c>
      <c r="N303" s="73">
        <v>8.2</v>
      </c>
      <c r="O303" s="73">
        <v>17.4</v>
      </c>
      <c r="P303" s="74">
        <v>0</v>
      </c>
      <c r="Q303" s="74">
        <v>0</v>
      </c>
      <c r="R303" s="73">
        <v>3</v>
      </c>
      <c r="S303" s="76">
        <v>0.2</v>
      </c>
      <c r="T303" s="78"/>
      <c r="U303" s="79"/>
      <c r="V303" s="79"/>
      <c r="W303" s="79"/>
    </row>
    <row r="304" spans="1:23" s="3" customFormat="1" ht="11.25" customHeight="1">
      <c r="A304" s="83">
        <v>385</v>
      </c>
      <c r="B304" s="192" t="s">
        <v>139</v>
      </c>
      <c r="C304" s="193"/>
      <c r="D304" s="105">
        <v>200</v>
      </c>
      <c r="E304" s="83">
        <f>4.2*D304/150</f>
        <v>5.6</v>
      </c>
      <c r="F304" s="83">
        <f>4.8*D304/150</f>
        <v>6.4</v>
      </c>
      <c r="G304" s="83">
        <f>7.05*D304/150</f>
        <v>9.4</v>
      </c>
      <c r="H304" s="116">
        <f>E304*4+F304*9+G304*4</f>
        <v>117.6</v>
      </c>
      <c r="I304" s="82">
        <f>0.06*D304/150</f>
        <v>0.08</v>
      </c>
      <c r="J304" s="117">
        <f>0.23*D304/150</f>
        <v>0.30666666666666664</v>
      </c>
      <c r="K304" s="83">
        <f>1.95*D304/150</f>
        <v>2.6</v>
      </c>
      <c r="L304" s="117">
        <f>0.05*D304/150</f>
        <v>0.06666666666666667</v>
      </c>
      <c r="M304" s="82">
        <f>0.219*D304/150</f>
        <v>0.292</v>
      </c>
      <c r="N304" s="116">
        <f>180*D304/150</f>
        <v>240</v>
      </c>
      <c r="O304" s="116">
        <f>135*D304/150</f>
        <v>180</v>
      </c>
      <c r="P304" s="83">
        <v>0.8</v>
      </c>
      <c r="Q304" s="117">
        <v>0.018</v>
      </c>
      <c r="R304" s="83">
        <f>21*D304/150</f>
        <v>28</v>
      </c>
      <c r="S304" s="83">
        <f>0.09*D304/150</f>
        <v>0.12</v>
      </c>
      <c r="T304" s="78"/>
      <c r="U304" s="79"/>
      <c r="V304" s="79"/>
      <c r="W304" s="79"/>
    </row>
    <row r="305" spans="1:23" s="1" customFormat="1" ht="11.25" customHeight="1">
      <c r="A305" s="66" t="s">
        <v>30</v>
      </c>
      <c r="B305" s="67"/>
      <c r="C305" s="67"/>
      <c r="D305" s="130">
        <f>SUM(D302:D304)</f>
        <v>320</v>
      </c>
      <c r="E305" s="41">
        <f>SUM(E302:E304)</f>
        <v>7.949999999999999</v>
      </c>
      <c r="F305" s="40">
        <f>SUM(F302:F304)</f>
        <v>8.96</v>
      </c>
      <c r="G305" s="40">
        <f aca="true" t="shared" si="79" ref="G305:S305">SUM(G302:G304)</f>
        <v>32.15</v>
      </c>
      <c r="H305" s="40">
        <f t="shared" si="79"/>
        <v>241.04</v>
      </c>
      <c r="I305" s="40">
        <f t="shared" si="79"/>
        <v>0.13333333333333333</v>
      </c>
      <c r="J305" s="40">
        <f t="shared" si="79"/>
        <v>0.35</v>
      </c>
      <c r="K305" s="40">
        <f t="shared" si="79"/>
        <v>40.85</v>
      </c>
      <c r="L305" s="40">
        <f t="shared" si="79"/>
        <v>0.1</v>
      </c>
      <c r="M305" s="40">
        <f t="shared" si="79"/>
        <v>1.492</v>
      </c>
      <c r="N305" s="40">
        <f t="shared" si="79"/>
        <v>273.2</v>
      </c>
      <c r="O305" s="40">
        <f t="shared" si="79"/>
        <v>214.39999999999998</v>
      </c>
      <c r="P305" s="40">
        <f t="shared" si="79"/>
        <v>1.0166666666666666</v>
      </c>
      <c r="Q305" s="42">
        <f t="shared" si="79"/>
        <v>0.019666666666666666</v>
      </c>
      <c r="R305" s="40">
        <f t="shared" si="79"/>
        <v>42</v>
      </c>
      <c r="S305" s="40">
        <f t="shared" si="79"/>
        <v>1.5699999999999998</v>
      </c>
      <c r="T305" s="40"/>
      <c r="U305" s="43"/>
      <c r="V305" s="43"/>
      <c r="W305" s="43"/>
    </row>
    <row r="306" spans="1:23" s="1" customFormat="1" ht="11.25" customHeight="1">
      <c r="A306" s="229" t="s">
        <v>77</v>
      </c>
      <c r="B306" s="230"/>
      <c r="C306" s="230"/>
      <c r="D306" s="231"/>
      <c r="E306" s="81">
        <f>E305/E308</f>
        <v>0.10324675324675324</v>
      </c>
      <c r="F306" s="46">
        <f aca="true" t="shared" si="80" ref="F306:S306">F305/F308</f>
        <v>0.11341772151898735</v>
      </c>
      <c r="G306" s="46">
        <f t="shared" si="80"/>
        <v>0.09597014925373133</v>
      </c>
      <c r="H306" s="46">
        <f t="shared" si="80"/>
        <v>0.10257021276595744</v>
      </c>
      <c r="I306" s="46">
        <f t="shared" si="80"/>
        <v>0.11111111111111112</v>
      </c>
      <c r="J306" s="46">
        <f t="shared" si="80"/>
        <v>0.25</v>
      </c>
      <c r="K306" s="46">
        <f t="shared" si="80"/>
        <v>0.6808333333333334</v>
      </c>
      <c r="L306" s="46">
        <f t="shared" si="80"/>
        <v>0.14285714285714288</v>
      </c>
      <c r="M306" s="46">
        <f t="shared" si="80"/>
        <v>0.1492</v>
      </c>
      <c r="N306" s="46">
        <f t="shared" si="80"/>
        <v>0.24836363636363634</v>
      </c>
      <c r="O306" s="46">
        <f t="shared" si="80"/>
        <v>0.1949090909090909</v>
      </c>
      <c r="P306" s="46">
        <f t="shared" si="80"/>
        <v>0.10166666666666666</v>
      </c>
      <c r="Q306" s="46">
        <f t="shared" si="80"/>
        <v>0.19666666666666666</v>
      </c>
      <c r="R306" s="46">
        <f t="shared" si="80"/>
        <v>0.168</v>
      </c>
      <c r="S306" s="46">
        <f t="shared" si="80"/>
        <v>0.13083333333333333</v>
      </c>
      <c r="T306" s="51"/>
      <c r="U306" s="43"/>
      <c r="V306" s="43"/>
      <c r="W306" s="43"/>
    </row>
    <row r="307" spans="1:23" s="1" customFormat="1" ht="11.25" customHeight="1">
      <c r="A307" s="219" t="s">
        <v>76</v>
      </c>
      <c r="B307" s="220"/>
      <c r="C307" s="220"/>
      <c r="D307" s="221"/>
      <c r="E307" s="41">
        <f aca="true" t="shared" si="81" ref="E307:S307">SUM(E288,E298,E305)</f>
        <v>53.010666666666665</v>
      </c>
      <c r="F307" s="40">
        <f t="shared" si="81"/>
        <v>50.105333333333334</v>
      </c>
      <c r="G307" s="40">
        <f t="shared" si="81"/>
        <v>214.79200000000003</v>
      </c>
      <c r="H307" s="40">
        <f t="shared" si="81"/>
        <v>1522.1586666666667</v>
      </c>
      <c r="I307" s="41">
        <f t="shared" si="81"/>
        <v>0.8175</v>
      </c>
      <c r="J307" s="41">
        <f t="shared" si="81"/>
        <v>1.2448333333333332</v>
      </c>
      <c r="K307" s="40">
        <f t="shared" si="81"/>
        <v>128.46266666666665</v>
      </c>
      <c r="L307" s="41">
        <f t="shared" si="81"/>
        <v>0.5391</v>
      </c>
      <c r="M307" s="41">
        <f t="shared" si="81"/>
        <v>9.030333333333333</v>
      </c>
      <c r="N307" s="40">
        <f t="shared" si="81"/>
        <v>636.2803333333334</v>
      </c>
      <c r="O307" s="40">
        <f t="shared" si="81"/>
        <v>1008.4518333333334</v>
      </c>
      <c r="P307" s="41">
        <f t="shared" si="81"/>
        <v>9.303333333333335</v>
      </c>
      <c r="Q307" s="42">
        <f t="shared" si="81"/>
        <v>0.0377</v>
      </c>
      <c r="R307" s="41">
        <f t="shared" si="81"/>
        <v>220.2135</v>
      </c>
      <c r="S307" s="41">
        <f t="shared" si="81"/>
        <v>13.326333333333334</v>
      </c>
      <c r="T307" s="44"/>
      <c r="U307" s="43"/>
      <c r="V307" s="43"/>
      <c r="W307" s="43"/>
    </row>
    <row r="308" spans="1:23" s="1" customFormat="1" ht="11.25" customHeight="1">
      <c r="A308" s="219" t="s">
        <v>78</v>
      </c>
      <c r="B308" s="220"/>
      <c r="C308" s="220"/>
      <c r="D308" s="221"/>
      <c r="E308" s="76">
        <v>77</v>
      </c>
      <c r="F308" s="73">
        <v>79</v>
      </c>
      <c r="G308" s="73">
        <v>335</v>
      </c>
      <c r="H308" s="73">
        <v>2350</v>
      </c>
      <c r="I308" s="76">
        <v>1.2</v>
      </c>
      <c r="J308" s="76">
        <v>1.4</v>
      </c>
      <c r="K308" s="74">
        <v>60</v>
      </c>
      <c r="L308" s="76">
        <v>0.7</v>
      </c>
      <c r="M308" s="74">
        <v>10</v>
      </c>
      <c r="N308" s="74">
        <v>1100</v>
      </c>
      <c r="O308" s="74">
        <v>1100</v>
      </c>
      <c r="P308" s="74">
        <v>10</v>
      </c>
      <c r="Q308" s="73">
        <v>0.1</v>
      </c>
      <c r="R308" s="74">
        <v>250</v>
      </c>
      <c r="S308" s="76">
        <v>12</v>
      </c>
      <c r="T308" s="78"/>
      <c r="U308" s="79"/>
      <c r="V308" s="79"/>
      <c r="W308" s="79"/>
    </row>
    <row r="309" spans="1:23" s="1" customFormat="1" ht="11.25" customHeight="1">
      <c r="A309" s="229" t="s">
        <v>77</v>
      </c>
      <c r="B309" s="230"/>
      <c r="C309" s="230"/>
      <c r="D309" s="231"/>
      <c r="E309" s="81">
        <f aca="true" t="shared" si="82" ref="E309:S309">E307/E308</f>
        <v>0.6884502164502164</v>
      </c>
      <c r="F309" s="46">
        <f t="shared" si="82"/>
        <v>0.6342447257383966</v>
      </c>
      <c r="G309" s="46">
        <f t="shared" si="82"/>
        <v>0.6411701492537314</v>
      </c>
      <c r="H309" s="46">
        <f t="shared" si="82"/>
        <v>0.6477270921985816</v>
      </c>
      <c r="I309" s="46">
        <f t="shared" si="82"/>
        <v>0.68125</v>
      </c>
      <c r="J309" s="46">
        <f t="shared" si="82"/>
        <v>0.8891666666666667</v>
      </c>
      <c r="K309" s="46">
        <f t="shared" si="82"/>
        <v>2.1410444444444443</v>
      </c>
      <c r="L309" s="47">
        <f t="shared" si="82"/>
        <v>0.7701428571428572</v>
      </c>
      <c r="M309" s="46">
        <f t="shared" si="82"/>
        <v>0.9030333333333334</v>
      </c>
      <c r="N309" s="46">
        <f t="shared" si="82"/>
        <v>0.5784366666666667</v>
      </c>
      <c r="O309" s="46">
        <f t="shared" si="82"/>
        <v>0.916774393939394</v>
      </c>
      <c r="P309" s="46">
        <f t="shared" si="82"/>
        <v>0.9303333333333335</v>
      </c>
      <c r="Q309" s="47">
        <f t="shared" si="82"/>
        <v>0.37699999999999995</v>
      </c>
      <c r="R309" s="46">
        <f t="shared" si="82"/>
        <v>0.880854</v>
      </c>
      <c r="S309" s="47">
        <f t="shared" si="82"/>
        <v>1.1105277777777778</v>
      </c>
      <c r="T309" s="48"/>
      <c r="U309" s="49"/>
      <c r="V309" s="49"/>
      <c r="W309" s="49"/>
    </row>
    <row r="310" spans="1:23" s="1" customFormat="1" ht="11.25" customHeight="1">
      <c r="A310" s="59" t="s">
        <v>128</v>
      </c>
      <c r="B310" s="59"/>
      <c r="C310" s="106"/>
      <c r="D310" s="106"/>
      <c r="E310" s="98"/>
      <c r="F310" s="75"/>
      <c r="G310" s="2"/>
      <c r="H310" s="2"/>
      <c r="I310" s="75"/>
      <c r="J310" s="75"/>
      <c r="K310" s="75"/>
      <c r="L310" s="223"/>
      <c r="M310" s="223"/>
      <c r="N310" s="223"/>
      <c r="O310" s="223"/>
      <c r="P310" s="223"/>
      <c r="Q310" s="223"/>
      <c r="R310" s="223"/>
      <c r="S310" s="223"/>
      <c r="T310" s="12"/>
      <c r="U310" s="19"/>
      <c r="V310" s="19"/>
      <c r="W310" s="19"/>
    </row>
    <row r="311" spans="1:23" s="1" customFormat="1" ht="11.25" customHeight="1">
      <c r="A311" s="59" t="s">
        <v>172</v>
      </c>
      <c r="B311" s="59"/>
      <c r="C311" s="166"/>
      <c r="D311" s="166"/>
      <c r="E311" s="98"/>
      <c r="F311" s="75"/>
      <c r="G311" s="2"/>
      <c r="H311" s="2"/>
      <c r="I311" s="75"/>
      <c r="J311" s="75"/>
      <c r="K311" s="75"/>
      <c r="L311" s="162"/>
      <c r="M311" s="162"/>
      <c r="N311" s="162"/>
      <c r="O311" s="162"/>
      <c r="P311" s="162"/>
      <c r="Q311" s="162"/>
      <c r="R311" s="162"/>
      <c r="S311" s="162"/>
      <c r="T311" s="12"/>
      <c r="U311" s="19"/>
      <c r="V311" s="19"/>
      <c r="W311" s="19"/>
    </row>
    <row r="312" spans="1:23" s="1" customFormat="1" ht="11.25" customHeight="1">
      <c r="A312" s="59"/>
      <c r="B312" s="59"/>
      <c r="C312" s="106"/>
      <c r="D312" s="106"/>
      <c r="E312" s="98"/>
      <c r="F312" s="75"/>
      <c r="G312" s="2"/>
      <c r="H312" s="2"/>
      <c r="I312" s="75"/>
      <c r="J312" s="75"/>
      <c r="K312" s="75"/>
      <c r="L312" s="107"/>
      <c r="M312" s="107"/>
      <c r="N312" s="107"/>
      <c r="O312" s="107"/>
      <c r="P312" s="107"/>
      <c r="Q312" s="107"/>
      <c r="R312" s="107"/>
      <c r="S312" s="162" t="s">
        <v>89</v>
      </c>
      <c r="T312" s="12"/>
      <c r="U312" s="19"/>
      <c r="V312" s="19"/>
      <c r="W312" s="19"/>
    </row>
    <row r="313" spans="1:23" s="1" customFormat="1" ht="11.25" customHeight="1">
      <c r="A313" s="236" t="s">
        <v>44</v>
      </c>
      <c r="B313" s="236"/>
      <c r="C313" s="236"/>
      <c r="D313" s="236"/>
      <c r="E313" s="236"/>
      <c r="F313" s="236"/>
      <c r="G313" s="236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236"/>
      <c r="S313" s="236"/>
      <c r="T313" s="13"/>
      <c r="U313" s="25"/>
      <c r="V313" s="25"/>
      <c r="W313" s="25"/>
    </row>
    <row r="314" spans="1:23" s="1" customFormat="1" ht="11.25" customHeight="1">
      <c r="A314" s="63" t="s">
        <v>66</v>
      </c>
      <c r="B314" s="59"/>
      <c r="C314" s="59"/>
      <c r="D314" s="2"/>
      <c r="E314" s="36"/>
      <c r="F314" s="224" t="s">
        <v>37</v>
      </c>
      <c r="G314" s="224"/>
      <c r="H314" s="224"/>
      <c r="I314" s="75"/>
      <c r="J314" s="75"/>
      <c r="K314" s="222" t="s">
        <v>1</v>
      </c>
      <c r="L314" s="222"/>
      <c r="M314" s="217" t="s">
        <v>85</v>
      </c>
      <c r="N314" s="217"/>
      <c r="O314" s="217"/>
      <c r="P314" s="217"/>
      <c r="Q314" s="75"/>
      <c r="R314" s="75"/>
      <c r="S314" s="75"/>
      <c r="T314" s="14"/>
      <c r="U314" s="20"/>
      <c r="V314" s="20"/>
      <c r="W314" s="20"/>
    </row>
    <row r="315" spans="1:23" s="1" customFormat="1" ht="11.25" customHeight="1">
      <c r="A315" s="59"/>
      <c r="B315" s="59"/>
      <c r="C315" s="59"/>
      <c r="D315" s="227" t="s">
        <v>2</v>
      </c>
      <c r="E315" s="227"/>
      <c r="F315" s="7">
        <v>2</v>
      </c>
      <c r="G315" s="75"/>
      <c r="H315" s="2"/>
      <c r="I315" s="2"/>
      <c r="J315" s="2"/>
      <c r="K315" s="227" t="s">
        <v>3</v>
      </c>
      <c r="L315" s="227"/>
      <c r="M315" s="228" t="s">
        <v>68</v>
      </c>
      <c r="N315" s="228"/>
      <c r="O315" s="228"/>
      <c r="P315" s="228"/>
      <c r="Q315" s="228"/>
      <c r="R315" s="228"/>
      <c r="S315" s="228"/>
      <c r="T315" s="15"/>
      <c r="U315" s="21"/>
      <c r="V315" s="21"/>
      <c r="W315" s="21"/>
    </row>
    <row r="316" spans="1:23" s="1" customFormat="1" ht="21.75" customHeight="1">
      <c r="A316" s="209" t="s">
        <v>4</v>
      </c>
      <c r="B316" s="211" t="s">
        <v>5</v>
      </c>
      <c r="C316" s="212"/>
      <c r="D316" s="209" t="s">
        <v>6</v>
      </c>
      <c r="E316" s="206" t="s">
        <v>7</v>
      </c>
      <c r="F316" s="207"/>
      <c r="G316" s="208"/>
      <c r="H316" s="209" t="s">
        <v>8</v>
      </c>
      <c r="I316" s="206" t="s">
        <v>9</v>
      </c>
      <c r="J316" s="207"/>
      <c r="K316" s="207"/>
      <c r="L316" s="207"/>
      <c r="M316" s="208"/>
      <c r="N316" s="206" t="s">
        <v>10</v>
      </c>
      <c r="O316" s="207"/>
      <c r="P316" s="207"/>
      <c r="Q316" s="207"/>
      <c r="R316" s="207"/>
      <c r="S316" s="208"/>
      <c r="T316" s="9"/>
      <c r="U316" s="22"/>
      <c r="V316" s="22"/>
      <c r="W316" s="22"/>
    </row>
    <row r="317" spans="1:23" s="1" customFormat="1" ht="21" customHeight="1">
      <c r="A317" s="210"/>
      <c r="B317" s="213"/>
      <c r="C317" s="214"/>
      <c r="D317" s="210"/>
      <c r="E317" s="96" t="s">
        <v>11</v>
      </c>
      <c r="F317" s="108" t="s">
        <v>12</v>
      </c>
      <c r="G317" s="108" t="s">
        <v>13</v>
      </c>
      <c r="H317" s="210"/>
      <c r="I317" s="108" t="s">
        <v>14</v>
      </c>
      <c r="J317" s="108" t="s">
        <v>69</v>
      </c>
      <c r="K317" s="108" t="s">
        <v>15</v>
      </c>
      <c r="L317" s="108" t="s">
        <v>16</v>
      </c>
      <c r="M317" s="108" t="s">
        <v>17</v>
      </c>
      <c r="N317" s="108" t="s">
        <v>18</v>
      </c>
      <c r="O317" s="108" t="s">
        <v>19</v>
      </c>
      <c r="P317" s="108" t="s">
        <v>70</v>
      </c>
      <c r="Q317" s="108" t="s">
        <v>72</v>
      </c>
      <c r="R317" s="108" t="s">
        <v>20</v>
      </c>
      <c r="S317" s="108" t="s">
        <v>21</v>
      </c>
      <c r="T317" s="9"/>
      <c r="U317" s="22"/>
      <c r="V317" s="22"/>
      <c r="W317" s="22"/>
    </row>
    <row r="318" spans="1:23" s="1" customFormat="1" ht="11.25" customHeight="1">
      <c r="A318" s="105">
        <v>1</v>
      </c>
      <c r="B318" s="198">
        <v>2</v>
      </c>
      <c r="C318" s="199"/>
      <c r="D318" s="39">
        <v>3</v>
      </c>
      <c r="E318" s="97">
        <v>4</v>
      </c>
      <c r="F318" s="39">
        <v>5</v>
      </c>
      <c r="G318" s="39">
        <v>6</v>
      </c>
      <c r="H318" s="39">
        <v>7</v>
      </c>
      <c r="I318" s="39">
        <v>8</v>
      </c>
      <c r="J318" s="39">
        <v>9</v>
      </c>
      <c r="K318" s="39">
        <v>10</v>
      </c>
      <c r="L318" s="39">
        <v>11</v>
      </c>
      <c r="M318" s="39">
        <v>12</v>
      </c>
      <c r="N318" s="39">
        <v>13</v>
      </c>
      <c r="O318" s="39">
        <v>14</v>
      </c>
      <c r="P318" s="39">
        <v>15</v>
      </c>
      <c r="Q318" s="39">
        <v>16</v>
      </c>
      <c r="R318" s="39">
        <v>17</v>
      </c>
      <c r="S318" s="39">
        <v>18</v>
      </c>
      <c r="T318" s="10"/>
      <c r="U318" s="23"/>
      <c r="V318" s="23"/>
      <c r="W318" s="23"/>
    </row>
    <row r="319" spans="1:23" s="1" customFormat="1" ht="11.25" customHeight="1">
      <c r="A319" s="203" t="s">
        <v>22</v>
      </c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5"/>
      <c r="T319" s="11"/>
      <c r="U319" s="24"/>
      <c r="V319" s="24"/>
      <c r="W319" s="24"/>
    </row>
    <row r="320" spans="1:23" s="1" customFormat="1" ht="21" customHeight="1">
      <c r="A320" s="154" t="s">
        <v>170</v>
      </c>
      <c r="B320" s="252" t="s">
        <v>145</v>
      </c>
      <c r="C320" s="253"/>
      <c r="D320" s="154">
        <v>30</v>
      </c>
      <c r="E320" s="172">
        <f>2.2*D320/30</f>
        <v>2.2</v>
      </c>
      <c r="F320" s="154">
        <f>4.3*D320/30</f>
        <v>4.3</v>
      </c>
      <c r="G320" s="154">
        <f>12.3*D320/30</f>
        <v>12.3</v>
      </c>
      <c r="H320" s="155">
        <f aca="true" t="shared" si="83" ref="H320:H326">E320*4+F320*9+G320*4</f>
        <v>96.7</v>
      </c>
      <c r="I320" s="154">
        <f>0.03*D320/30</f>
        <v>0.029999999999999995</v>
      </c>
      <c r="J320" s="154">
        <f>0.01*D320/30</f>
        <v>0.01</v>
      </c>
      <c r="K320" s="172">
        <f>0.85*D320/30</f>
        <v>0.85</v>
      </c>
      <c r="L320" s="154">
        <f>0.02*D320/30</f>
        <v>0.02</v>
      </c>
      <c r="M320" s="154">
        <f>0.03*D320/30</f>
        <v>0.029999999999999995</v>
      </c>
      <c r="N320" s="154">
        <f>5.68*D320/30</f>
        <v>5.679999999999999</v>
      </c>
      <c r="O320" s="173">
        <f>38.38*D320/30</f>
        <v>38.38</v>
      </c>
      <c r="P320" s="154">
        <f>0.04*D320/30</f>
        <v>0.04</v>
      </c>
      <c r="Q320" s="154">
        <f>0.001*D320/30</f>
        <v>0.001</v>
      </c>
      <c r="R320" s="154">
        <f>4.2*D320/30</f>
        <v>4.2</v>
      </c>
      <c r="S320" s="154">
        <f>0.37*D320/30</f>
        <v>0.37</v>
      </c>
      <c r="T320" s="11"/>
      <c r="U320" s="24"/>
      <c r="V320" s="24"/>
      <c r="W320" s="24"/>
    </row>
    <row r="321" spans="1:23" s="75" customFormat="1" ht="23.25" customHeight="1">
      <c r="A321" s="71">
        <v>71</v>
      </c>
      <c r="B321" s="192" t="s">
        <v>163</v>
      </c>
      <c r="C321" s="193"/>
      <c r="D321" s="84">
        <v>40</v>
      </c>
      <c r="E321" s="85">
        <v>0.44</v>
      </c>
      <c r="F321" s="85">
        <v>0.08</v>
      </c>
      <c r="G321" s="85">
        <v>1.52</v>
      </c>
      <c r="H321" s="85">
        <f t="shared" si="83"/>
        <v>8.56</v>
      </c>
      <c r="I321" s="86">
        <v>0.027</v>
      </c>
      <c r="J321" s="86">
        <v>0.032</v>
      </c>
      <c r="K321" s="170">
        <v>9.73</v>
      </c>
      <c r="L321" s="170">
        <v>0.36</v>
      </c>
      <c r="M321" s="84">
        <v>1.88</v>
      </c>
      <c r="N321" s="85">
        <v>24.4</v>
      </c>
      <c r="O321" s="85">
        <v>30.4</v>
      </c>
      <c r="P321" s="170">
        <v>0.28</v>
      </c>
      <c r="Q321" s="86">
        <v>0.005</v>
      </c>
      <c r="R321" s="85">
        <v>10.2</v>
      </c>
      <c r="S321" s="85">
        <v>0.4</v>
      </c>
      <c r="T321" s="78"/>
      <c r="U321" s="79"/>
      <c r="V321" s="79"/>
      <c r="W321" s="79"/>
    </row>
    <row r="322" spans="1:23" s="3" customFormat="1" ht="21" customHeight="1">
      <c r="A322" s="105">
        <v>279</v>
      </c>
      <c r="B322" s="192" t="s">
        <v>135</v>
      </c>
      <c r="C322" s="193"/>
      <c r="D322" s="72" t="s">
        <v>75</v>
      </c>
      <c r="E322" s="76">
        <v>11.73</v>
      </c>
      <c r="F322" s="76">
        <v>14.08</v>
      </c>
      <c r="G322" s="76">
        <v>14.94</v>
      </c>
      <c r="H322" s="73">
        <f t="shared" si="83"/>
        <v>233.39999999999998</v>
      </c>
      <c r="I322" s="72">
        <v>0.16</v>
      </c>
      <c r="J322" s="72">
        <v>0.13</v>
      </c>
      <c r="K322" s="76">
        <v>0.31</v>
      </c>
      <c r="L322" s="77">
        <v>0.009</v>
      </c>
      <c r="M322" s="76">
        <v>0.01</v>
      </c>
      <c r="N322" s="76">
        <v>12.65</v>
      </c>
      <c r="O322" s="76">
        <v>138.55</v>
      </c>
      <c r="P322" s="76">
        <v>1.99</v>
      </c>
      <c r="Q322" s="77">
        <v>0.03</v>
      </c>
      <c r="R322" s="76">
        <v>20.29</v>
      </c>
      <c r="S322" s="76">
        <v>1.73</v>
      </c>
      <c r="T322" s="78"/>
      <c r="U322" s="79"/>
      <c r="V322" s="79"/>
      <c r="W322" s="79"/>
    </row>
    <row r="323" spans="1:23" s="3" customFormat="1" ht="22.5" customHeight="1">
      <c r="A323" s="105">
        <v>203</v>
      </c>
      <c r="B323" s="192" t="s">
        <v>114</v>
      </c>
      <c r="C323" s="193"/>
      <c r="D323" s="74">
        <v>150</v>
      </c>
      <c r="E323" s="76">
        <f>5.7*D323/150</f>
        <v>5.7</v>
      </c>
      <c r="F323" s="76">
        <f>3.43*D323/150</f>
        <v>3.43</v>
      </c>
      <c r="G323" s="76">
        <f>36.45*D323/150</f>
        <v>36.45</v>
      </c>
      <c r="H323" s="76">
        <f t="shared" si="83"/>
        <v>199.47000000000003</v>
      </c>
      <c r="I323" s="76">
        <f>0.09*D323/150</f>
        <v>0.09</v>
      </c>
      <c r="J323" s="76">
        <f>0.03*D323/150</f>
        <v>0.03</v>
      </c>
      <c r="K323" s="76">
        <v>0</v>
      </c>
      <c r="L323" s="77">
        <f>0.03*D323/150</f>
        <v>0.03</v>
      </c>
      <c r="M323" s="76">
        <f>1.25*D323/150</f>
        <v>1.25</v>
      </c>
      <c r="N323" s="76">
        <f>13.28*D323/150</f>
        <v>13.28</v>
      </c>
      <c r="O323" s="76">
        <f>46.21*D323/150</f>
        <v>46.21</v>
      </c>
      <c r="P323" s="76">
        <f>0.78*D323/150</f>
        <v>0.78</v>
      </c>
      <c r="Q323" s="77">
        <f>0.0015*D323/150</f>
        <v>0.0015</v>
      </c>
      <c r="R323" s="76">
        <f>8.47*D323/150</f>
        <v>8.47</v>
      </c>
      <c r="S323" s="76">
        <f>0.86*D323/150</f>
        <v>0.86</v>
      </c>
      <c r="T323" s="78"/>
      <c r="U323" s="79"/>
      <c r="V323" s="79"/>
      <c r="W323" s="79"/>
    </row>
    <row r="324" spans="1:23" s="75" customFormat="1" ht="11.25">
      <c r="A324" s="113">
        <v>338</v>
      </c>
      <c r="B324" s="191" t="s">
        <v>169</v>
      </c>
      <c r="C324" s="191"/>
      <c r="D324" s="74">
        <v>100</v>
      </c>
      <c r="E324" s="76">
        <v>0.9</v>
      </c>
      <c r="F324" s="72">
        <v>0.2</v>
      </c>
      <c r="G324" s="73">
        <v>8.1</v>
      </c>
      <c r="H324" s="73">
        <f t="shared" si="83"/>
        <v>37.8</v>
      </c>
      <c r="I324" s="76">
        <v>0.04</v>
      </c>
      <c r="J324" s="76">
        <v>0.03</v>
      </c>
      <c r="K324" s="76">
        <v>60</v>
      </c>
      <c r="L324" s="76">
        <v>0.01</v>
      </c>
      <c r="M324" s="76">
        <v>0.2</v>
      </c>
      <c r="N324" s="76">
        <v>34</v>
      </c>
      <c r="O324" s="76">
        <v>23</v>
      </c>
      <c r="P324" s="76">
        <v>0.2</v>
      </c>
      <c r="Q324" s="76">
        <v>0.002</v>
      </c>
      <c r="R324" s="76">
        <v>15</v>
      </c>
      <c r="S324" s="76">
        <v>0.3</v>
      </c>
      <c r="T324" s="78"/>
      <c r="U324" s="79"/>
      <c r="V324" s="79"/>
      <c r="W324" s="79"/>
    </row>
    <row r="325" spans="1:23" s="3" customFormat="1" ht="11.25" customHeight="1">
      <c r="A325" s="105">
        <v>382</v>
      </c>
      <c r="B325" s="192" t="s">
        <v>142</v>
      </c>
      <c r="C325" s="193"/>
      <c r="D325" s="74">
        <v>200</v>
      </c>
      <c r="E325" s="76">
        <f>3.5*D325/200</f>
        <v>3.5</v>
      </c>
      <c r="F325" s="76">
        <f>3.7*D325/200</f>
        <v>3.7</v>
      </c>
      <c r="G325" s="76">
        <f>25.5*D325/200</f>
        <v>25.5</v>
      </c>
      <c r="H325" s="76">
        <f t="shared" si="83"/>
        <v>149.3</v>
      </c>
      <c r="I325" s="76">
        <f>0.06*D325/200</f>
        <v>0.06</v>
      </c>
      <c r="J325" s="76">
        <f>0.006*D325/200</f>
        <v>0.006</v>
      </c>
      <c r="K325" s="76">
        <f>1.6*D325/200</f>
        <v>1.6</v>
      </c>
      <c r="L325" s="77">
        <f>0.04*D325/200</f>
        <v>0.04</v>
      </c>
      <c r="M325" s="76">
        <f>0.4*D325/200</f>
        <v>0.4</v>
      </c>
      <c r="N325" s="76">
        <f>102.6*D325/200</f>
        <v>102.6</v>
      </c>
      <c r="O325" s="76">
        <f>178.4*D325/200</f>
        <v>178.4</v>
      </c>
      <c r="P325" s="76">
        <f>1*D325/200</f>
        <v>1</v>
      </c>
      <c r="Q325" s="77">
        <f>0.001*D325/200</f>
        <v>0.001</v>
      </c>
      <c r="R325" s="76">
        <f>24.8*D325/200</f>
        <v>24.8</v>
      </c>
      <c r="S325" s="76">
        <f>0.48*D325/200</f>
        <v>0.48</v>
      </c>
      <c r="T325" s="78"/>
      <c r="U325" s="79"/>
      <c r="V325" s="79"/>
      <c r="W325" s="79"/>
    </row>
    <row r="326" spans="1:23" s="3" customFormat="1" ht="11.25" customHeight="1">
      <c r="A326" s="82" t="s">
        <v>90</v>
      </c>
      <c r="B326" s="192" t="s">
        <v>62</v>
      </c>
      <c r="C326" s="193"/>
      <c r="D326" s="74">
        <v>40</v>
      </c>
      <c r="E326" s="76">
        <f>1.52*D326/30</f>
        <v>2.0266666666666664</v>
      </c>
      <c r="F326" s="77">
        <f>0.16*D326/30</f>
        <v>0.21333333333333335</v>
      </c>
      <c r="G326" s="77">
        <f>9.84*D326/30</f>
        <v>13.120000000000001</v>
      </c>
      <c r="H326" s="77">
        <f t="shared" si="83"/>
        <v>62.50666666666667</v>
      </c>
      <c r="I326" s="77">
        <f>0.02*D326/30</f>
        <v>0.02666666666666667</v>
      </c>
      <c r="J326" s="77">
        <f>0.01*D326/30</f>
        <v>0.013333333333333334</v>
      </c>
      <c r="K326" s="77">
        <f>0.44*D326/30</f>
        <v>0.5866666666666667</v>
      </c>
      <c r="L326" s="77">
        <v>0</v>
      </c>
      <c r="M326" s="77">
        <f>0.7*D326/30</f>
        <v>0.9333333333333333</v>
      </c>
      <c r="N326" s="77">
        <f>4*D326/30</f>
        <v>5.333333333333333</v>
      </c>
      <c r="O326" s="77">
        <f>13*D326/30</f>
        <v>17.333333333333332</v>
      </c>
      <c r="P326" s="77">
        <f>0.008*D326/30</f>
        <v>0.010666666666666666</v>
      </c>
      <c r="Q326" s="77">
        <f>0.001*D326/30</f>
        <v>0.0013333333333333333</v>
      </c>
      <c r="R326" s="77">
        <v>0</v>
      </c>
      <c r="S326" s="77">
        <f>0.22*D326/30</f>
        <v>0.29333333333333333</v>
      </c>
      <c r="T326" s="78"/>
      <c r="U326" s="79"/>
      <c r="V326" s="79"/>
      <c r="W326" s="79"/>
    </row>
    <row r="327" spans="1:23" s="3" customFormat="1" ht="11.25" customHeight="1">
      <c r="A327" s="68" t="str">
        <f>'[1]TDSheet'!A308</f>
        <v>Итого за Завтрак мясной</v>
      </c>
      <c r="B327" s="69"/>
      <c r="C327" s="69"/>
      <c r="D327" s="130">
        <v>630</v>
      </c>
      <c r="E327" s="41">
        <f>SUM(E321:E326)</f>
        <v>24.296666666666667</v>
      </c>
      <c r="F327" s="40">
        <f>SUM(F321:F326)</f>
        <v>21.703333333333333</v>
      </c>
      <c r="G327" s="40">
        <f>SUM(G321:G326)</f>
        <v>99.63000000000001</v>
      </c>
      <c r="H327" s="52">
        <f>SUM(H321:H326)</f>
        <v>691.0366666666666</v>
      </c>
      <c r="I327" s="41">
        <f aca="true" t="shared" si="84" ref="I327:S327">SUM(I321:I326)</f>
        <v>0.4036666666666667</v>
      </c>
      <c r="J327" s="41">
        <f t="shared" si="84"/>
        <v>0.24133333333333334</v>
      </c>
      <c r="K327" s="41">
        <f t="shared" si="84"/>
        <v>72.22666666666667</v>
      </c>
      <c r="L327" s="41">
        <f t="shared" si="84"/>
        <v>0.449</v>
      </c>
      <c r="M327" s="41">
        <f t="shared" si="84"/>
        <v>4.673333333333333</v>
      </c>
      <c r="N327" s="41">
        <f t="shared" si="84"/>
        <v>192.26333333333335</v>
      </c>
      <c r="O327" s="41">
        <f t="shared" si="84"/>
        <v>433.8933333333334</v>
      </c>
      <c r="P327" s="41">
        <f t="shared" si="84"/>
        <v>4.260666666666666</v>
      </c>
      <c r="Q327" s="42">
        <f t="shared" si="84"/>
        <v>0.04083333333333333</v>
      </c>
      <c r="R327" s="41">
        <f t="shared" si="84"/>
        <v>78.76</v>
      </c>
      <c r="S327" s="41">
        <f t="shared" si="84"/>
        <v>4.063333333333333</v>
      </c>
      <c r="T327" s="40"/>
      <c r="U327" s="43"/>
      <c r="V327" s="43"/>
      <c r="W327" s="43"/>
    </row>
    <row r="328" spans="1:23" s="3" customFormat="1" ht="11.25" customHeight="1">
      <c r="A328" s="229" t="s">
        <v>77</v>
      </c>
      <c r="B328" s="230"/>
      <c r="C328" s="230"/>
      <c r="D328" s="231"/>
      <c r="E328" s="102">
        <f aca="true" t="shared" si="85" ref="E328:S328">E327/E346</f>
        <v>0.31554112554112557</v>
      </c>
      <c r="F328" s="46">
        <f t="shared" si="85"/>
        <v>0.27472573839662445</v>
      </c>
      <c r="G328" s="46">
        <f t="shared" si="85"/>
        <v>0.29740298507462687</v>
      </c>
      <c r="H328" s="46">
        <f t="shared" si="85"/>
        <v>0.29405815602836877</v>
      </c>
      <c r="I328" s="46">
        <f t="shared" si="85"/>
        <v>0.3363888888888889</v>
      </c>
      <c r="J328" s="46">
        <f t="shared" si="85"/>
        <v>0.1723809523809524</v>
      </c>
      <c r="K328" s="46">
        <f t="shared" si="85"/>
        <v>1.2037777777777778</v>
      </c>
      <c r="L328" s="46">
        <f t="shared" si="85"/>
        <v>0.6414285714285715</v>
      </c>
      <c r="M328" s="46">
        <f t="shared" si="85"/>
        <v>0.46733333333333327</v>
      </c>
      <c r="N328" s="46">
        <f t="shared" si="85"/>
        <v>0.1747848484848485</v>
      </c>
      <c r="O328" s="46">
        <f t="shared" si="85"/>
        <v>0.3944484848484849</v>
      </c>
      <c r="P328" s="46">
        <f t="shared" si="85"/>
        <v>0.42606666666666665</v>
      </c>
      <c r="Q328" s="46">
        <f t="shared" si="85"/>
        <v>0.4083333333333333</v>
      </c>
      <c r="R328" s="46">
        <f t="shared" si="85"/>
        <v>0.31504000000000004</v>
      </c>
      <c r="S328" s="46">
        <f t="shared" si="85"/>
        <v>0.33861111111111103</v>
      </c>
      <c r="T328" s="51"/>
      <c r="U328" s="43"/>
      <c r="V328" s="43"/>
      <c r="W328" s="43"/>
    </row>
    <row r="329" spans="1:23" s="75" customFormat="1" ht="11.25" customHeight="1">
      <c r="A329" s="89" t="s">
        <v>110</v>
      </c>
      <c r="B329" s="90"/>
      <c r="C329" s="90"/>
      <c r="D329" s="161"/>
      <c r="E329" s="41">
        <f>E320+E322+E323+E324+E325+E326</f>
        <v>26.056666666666665</v>
      </c>
      <c r="F329" s="41">
        <f aca="true" t="shared" si="86" ref="F329:S329">F320+F322+F323+F324+F325+F326</f>
        <v>25.923333333333332</v>
      </c>
      <c r="G329" s="41">
        <f t="shared" si="86"/>
        <v>110.41000000000001</v>
      </c>
      <c r="H329" s="41">
        <f t="shared" si="86"/>
        <v>779.1766666666665</v>
      </c>
      <c r="I329" s="41">
        <f t="shared" si="86"/>
        <v>0.4066666666666667</v>
      </c>
      <c r="J329" s="41">
        <f t="shared" si="86"/>
        <v>0.21933333333333335</v>
      </c>
      <c r="K329" s="41">
        <f t="shared" si="86"/>
        <v>63.346666666666664</v>
      </c>
      <c r="L329" s="41">
        <f t="shared" si="86"/>
        <v>0.10899999999999999</v>
      </c>
      <c r="M329" s="41">
        <f t="shared" si="86"/>
        <v>2.8233333333333333</v>
      </c>
      <c r="N329" s="41">
        <f t="shared" si="86"/>
        <v>173.54333333333332</v>
      </c>
      <c r="O329" s="41">
        <f t="shared" si="86"/>
        <v>441.87333333333333</v>
      </c>
      <c r="P329" s="41">
        <f t="shared" si="86"/>
        <v>4.020666666666666</v>
      </c>
      <c r="Q329" s="41">
        <f t="shared" si="86"/>
        <v>0.036833333333333336</v>
      </c>
      <c r="R329" s="41">
        <f t="shared" si="86"/>
        <v>72.76</v>
      </c>
      <c r="S329" s="41">
        <f t="shared" si="86"/>
        <v>4.033333333333333</v>
      </c>
      <c r="T329" s="51"/>
      <c r="U329" s="43"/>
      <c r="V329" s="43"/>
      <c r="W329" s="43"/>
    </row>
    <row r="330" spans="1:23" s="3" customFormat="1" ht="11.25" customHeight="1">
      <c r="A330" s="200" t="str">
        <f>'[1]TDSheet'!A315</f>
        <v>Обед (полноценный рацион питания)</v>
      </c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2"/>
      <c r="T330" s="11"/>
      <c r="U330" s="24"/>
      <c r="V330" s="24"/>
      <c r="W330" s="24"/>
    </row>
    <row r="331" spans="1:23" s="75" customFormat="1" ht="11.25" customHeight="1">
      <c r="A331" s="105">
        <v>50</v>
      </c>
      <c r="B331" s="192" t="s">
        <v>118</v>
      </c>
      <c r="C331" s="193"/>
      <c r="D331" s="74">
        <v>60</v>
      </c>
      <c r="E331" s="76">
        <f>2.7*D331/60</f>
        <v>2.7</v>
      </c>
      <c r="F331" s="76">
        <f>4.7*D331/60</f>
        <v>4.7</v>
      </c>
      <c r="G331" s="76">
        <f>4.31*D331/60</f>
        <v>4.31</v>
      </c>
      <c r="H331" s="76">
        <f aca="true" t="shared" si="87" ref="H331:H337">E331*4+F331*9+G331*4</f>
        <v>70.34</v>
      </c>
      <c r="I331" s="76">
        <f>0.01*D331/60</f>
        <v>0.01</v>
      </c>
      <c r="J331" s="77">
        <f>0.046*D331/60</f>
        <v>0.046</v>
      </c>
      <c r="K331" s="76">
        <f>5.7*D331/60</f>
        <v>5.7</v>
      </c>
      <c r="L331" s="76">
        <f>0.02*D331/60</f>
        <v>0.02</v>
      </c>
      <c r="M331" s="76">
        <f>0.1*D331/60</f>
        <v>0.1</v>
      </c>
      <c r="N331" s="76">
        <f>97.02*D331/60</f>
        <v>97.02</v>
      </c>
      <c r="O331" s="76">
        <f>65.56*D331/60</f>
        <v>65.56</v>
      </c>
      <c r="P331" s="76">
        <f>0.43*D331/60</f>
        <v>0.43</v>
      </c>
      <c r="Q331" s="77">
        <f>0.001*D331/60</f>
        <v>0.001</v>
      </c>
      <c r="R331" s="76">
        <f>13.79*D331/60</f>
        <v>13.79</v>
      </c>
      <c r="S331" s="76">
        <f>0.84*D331/60</f>
        <v>0.84</v>
      </c>
      <c r="T331" s="11"/>
      <c r="U331" s="24"/>
      <c r="V331" s="24"/>
      <c r="W331" s="24"/>
    </row>
    <row r="332" spans="1:23" s="75" customFormat="1" ht="23.25" customHeight="1">
      <c r="A332" s="105">
        <v>88</v>
      </c>
      <c r="B332" s="233" t="s">
        <v>79</v>
      </c>
      <c r="C332" s="234"/>
      <c r="D332" s="76" t="s">
        <v>52</v>
      </c>
      <c r="E332" s="76">
        <v>1.97</v>
      </c>
      <c r="F332" s="76">
        <v>5.18</v>
      </c>
      <c r="G332" s="76">
        <v>8.97</v>
      </c>
      <c r="H332" s="76">
        <f t="shared" si="87"/>
        <v>90.38</v>
      </c>
      <c r="I332" s="76">
        <v>0.02</v>
      </c>
      <c r="J332" s="76">
        <v>0.02</v>
      </c>
      <c r="K332" s="76">
        <v>9.2</v>
      </c>
      <c r="L332" s="76">
        <v>0.04</v>
      </c>
      <c r="M332" s="76">
        <v>0.08</v>
      </c>
      <c r="N332" s="76">
        <v>36.74</v>
      </c>
      <c r="O332" s="76">
        <v>24.2</v>
      </c>
      <c r="P332" s="76">
        <v>1.16</v>
      </c>
      <c r="Q332" s="76">
        <v>0.0014</v>
      </c>
      <c r="R332" s="76">
        <v>12.4</v>
      </c>
      <c r="S332" s="76">
        <v>0.4</v>
      </c>
      <c r="T332" s="11"/>
      <c r="U332" s="24"/>
      <c r="V332" s="24"/>
      <c r="W332" s="24"/>
    </row>
    <row r="333" spans="1:23" s="75" customFormat="1" ht="13.5" customHeight="1">
      <c r="A333" s="82">
        <v>232</v>
      </c>
      <c r="B333" s="192" t="s">
        <v>94</v>
      </c>
      <c r="C333" s="193"/>
      <c r="D333" s="74">
        <v>90</v>
      </c>
      <c r="E333" s="76">
        <f>17.77*D333/80</f>
        <v>19.99125</v>
      </c>
      <c r="F333" s="76">
        <f>9.32*D333/80</f>
        <v>10.485000000000001</v>
      </c>
      <c r="G333" s="76">
        <f>2.39*D333/80</f>
        <v>2.68875</v>
      </c>
      <c r="H333" s="76">
        <f t="shared" si="87"/>
        <v>185.085</v>
      </c>
      <c r="I333" s="76">
        <f>0.18*D333/80</f>
        <v>0.20249999999999999</v>
      </c>
      <c r="J333" s="76">
        <f>0.15*D333/80</f>
        <v>0.16875</v>
      </c>
      <c r="K333" s="73">
        <f>0.84*D333/80</f>
        <v>0.945</v>
      </c>
      <c r="L333" s="76">
        <f>0.0253*D333/80</f>
        <v>0.0284625</v>
      </c>
      <c r="M333" s="72">
        <f>0.1*D333/80</f>
        <v>0.1125</v>
      </c>
      <c r="N333" s="76">
        <f>33.32*D333/80</f>
        <v>37.485</v>
      </c>
      <c r="O333" s="76">
        <f>100.08*D333/80</f>
        <v>112.59</v>
      </c>
      <c r="P333" s="76">
        <f>0.2196*D333/80</f>
        <v>0.24705</v>
      </c>
      <c r="Q333" s="77">
        <f>0.009*D333/80</f>
        <v>0.010124999999999999</v>
      </c>
      <c r="R333" s="76">
        <f>18.42*D333/80</f>
        <v>20.722500000000004</v>
      </c>
      <c r="S333" s="76">
        <f>0.63*D333/80</f>
        <v>0.70875</v>
      </c>
      <c r="T333" s="11"/>
      <c r="U333" s="24"/>
      <c r="V333" s="24"/>
      <c r="W333" s="24"/>
    </row>
    <row r="334" spans="1:23" s="75" customFormat="1" ht="15" customHeight="1">
      <c r="A334" s="82">
        <v>312</v>
      </c>
      <c r="B334" s="192" t="s">
        <v>49</v>
      </c>
      <c r="C334" s="193"/>
      <c r="D334" s="74">
        <v>150</v>
      </c>
      <c r="E334" s="76">
        <f>D334*3.29/150</f>
        <v>3.29</v>
      </c>
      <c r="F334" s="76">
        <f>D334*7.06/150</f>
        <v>7.06</v>
      </c>
      <c r="G334" s="76">
        <f>D334*22.21/150</f>
        <v>22.21</v>
      </c>
      <c r="H334" s="76">
        <f t="shared" si="87"/>
        <v>165.54000000000002</v>
      </c>
      <c r="I334" s="76">
        <f>D334*0.16/150</f>
        <v>0.16</v>
      </c>
      <c r="J334" s="76">
        <f>D334*0.13/150</f>
        <v>0.13</v>
      </c>
      <c r="K334" s="76">
        <f>D334*0.73/150</f>
        <v>0.73</v>
      </c>
      <c r="L334" s="77">
        <f>D334*0.08/150</f>
        <v>0.08</v>
      </c>
      <c r="M334" s="72">
        <f>1.5*D334/150</f>
        <v>1.5</v>
      </c>
      <c r="N334" s="76">
        <f>D334*42.54/150</f>
        <v>42.54</v>
      </c>
      <c r="O334" s="73">
        <f>D334*97.75/150</f>
        <v>97.75</v>
      </c>
      <c r="P334" s="77">
        <f>0.299*D334/150</f>
        <v>0.299</v>
      </c>
      <c r="Q334" s="77">
        <f>0.001*D334/150</f>
        <v>0.001</v>
      </c>
      <c r="R334" s="76">
        <f>D334*33.06/150</f>
        <v>33.06</v>
      </c>
      <c r="S334" s="76">
        <f>D334*1.19/150</f>
        <v>1.19</v>
      </c>
      <c r="T334" s="11"/>
      <c r="U334" s="24"/>
      <c r="V334" s="24"/>
      <c r="W334" s="24"/>
    </row>
    <row r="335" spans="1:23" s="3" customFormat="1" ht="13.5" customHeight="1">
      <c r="A335" s="167">
        <v>350</v>
      </c>
      <c r="B335" s="192" t="s">
        <v>157</v>
      </c>
      <c r="C335" s="193"/>
      <c r="D335" s="74">
        <v>200</v>
      </c>
      <c r="E335" s="76"/>
      <c r="F335" s="72"/>
      <c r="G335" s="76">
        <v>18</v>
      </c>
      <c r="H335" s="76">
        <f>E335*4+F335*9+G335*4</f>
        <v>72</v>
      </c>
      <c r="I335" s="76"/>
      <c r="J335" s="76"/>
      <c r="K335" s="76">
        <v>0.9</v>
      </c>
      <c r="L335" s="73"/>
      <c r="M335" s="76"/>
      <c r="N335" s="76">
        <v>0.35</v>
      </c>
      <c r="O335" s="76"/>
      <c r="P335" s="76"/>
      <c r="Q335" s="77"/>
      <c r="R335" s="76"/>
      <c r="S335" s="76">
        <v>0.4</v>
      </c>
      <c r="T335" s="78"/>
      <c r="U335" s="79"/>
      <c r="V335" s="79"/>
      <c r="W335" s="79"/>
    </row>
    <row r="336" spans="1:23" s="3" customFormat="1" ht="11.25" customHeight="1">
      <c r="A336" s="83" t="s">
        <v>90</v>
      </c>
      <c r="B336" s="192" t="s">
        <v>48</v>
      </c>
      <c r="C336" s="193"/>
      <c r="D336" s="74">
        <v>40</v>
      </c>
      <c r="E336" s="76">
        <f>2.64*D336/40</f>
        <v>2.64</v>
      </c>
      <c r="F336" s="76">
        <f>0.48*D336/40</f>
        <v>0.48</v>
      </c>
      <c r="G336" s="76">
        <f>13.68*D336/40</f>
        <v>13.680000000000001</v>
      </c>
      <c r="H336" s="73">
        <f t="shared" si="87"/>
        <v>69.60000000000001</v>
      </c>
      <c r="I336" s="72">
        <f>0.08*D336/40</f>
        <v>0.08</v>
      </c>
      <c r="J336" s="76">
        <f>0.04*D336/40</f>
        <v>0.04</v>
      </c>
      <c r="K336" s="74">
        <v>0</v>
      </c>
      <c r="L336" s="74">
        <v>0</v>
      </c>
      <c r="M336" s="76">
        <f>2.4*D336/40</f>
        <v>2.4</v>
      </c>
      <c r="N336" s="76">
        <f>14*D336/40</f>
        <v>14</v>
      </c>
      <c r="O336" s="76">
        <f>63.2*D336/40</f>
        <v>63.2</v>
      </c>
      <c r="P336" s="76">
        <f>1.2*D336/40</f>
        <v>1.2</v>
      </c>
      <c r="Q336" s="77">
        <f>0.001*D336/40</f>
        <v>0.001</v>
      </c>
      <c r="R336" s="76">
        <f>9.4*D336/40</f>
        <v>9.4</v>
      </c>
      <c r="S336" s="72">
        <f>0.78*D336/40</f>
        <v>0.78</v>
      </c>
      <c r="T336" s="30"/>
      <c r="U336" s="31"/>
      <c r="V336" s="31"/>
      <c r="W336" s="31"/>
    </row>
    <row r="337" spans="1:23" s="3" customFormat="1" ht="11.25" customHeight="1">
      <c r="A337" s="82" t="s">
        <v>90</v>
      </c>
      <c r="B337" s="192" t="s">
        <v>62</v>
      </c>
      <c r="C337" s="193"/>
      <c r="D337" s="74">
        <v>30</v>
      </c>
      <c r="E337" s="76">
        <f>1.52*D337/30</f>
        <v>1.52</v>
      </c>
      <c r="F337" s="77">
        <f>0.16*D337/30</f>
        <v>0.16</v>
      </c>
      <c r="G337" s="77">
        <f>9.84*D337/30</f>
        <v>9.84</v>
      </c>
      <c r="H337" s="77">
        <f t="shared" si="87"/>
        <v>46.879999999999995</v>
      </c>
      <c r="I337" s="77">
        <f>0.02*D337/30</f>
        <v>0.02</v>
      </c>
      <c r="J337" s="77">
        <f>0.01*D337/30</f>
        <v>0.01</v>
      </c>
      <c r="K337" s="77">
        <f>0.44*D337/30</f>
        <v>0.44</v>
      </c>
      <c r="L337" s="77">
        <v>0</v>
      </c>
      <c r="M337" s="77">
        <f>0.7*D337/30</f>
        <v>0.7</v>
      </c>
      <c r="N337" s="77">
        <f>4*D337/30</f>
        <v>4</v>
      </c>
      <c r="O337" s="77">
        <f>13*D337/30</f>
        <v>13</v>
      </c>
      <c r="P337" s="77">
        <f>0.008*D337/30</f>
        <v>0.008</v>
      </c>
      <c r="Q337" s="77">
        <f>0.001*D337/30</f>
        <v>0.001</v>
      </c>
      <c r="R337" s="77">
        <v>0</v>
      </c>
      <c r="S337" s="77">
        <f>0.22*D337/30</f>
        <v>0.22</v>
      </c>
      <c r="T337" s="78"/>
      <c r="U337" s="79"/>
      <c r="V337" s="79"/>
      <c r="W337" s="79"/>
    </row>
    <row r="338" spans="1:23" s="3" customFormat="1" ht="11.25" customHeight="1">
      <c r="A338" s="66" t="s">
        <v>28</v>
      </c>
      <c r="B338" s="67"/>
      <c r="C338" s="67"/>
      <c r="D338" s="126">
        <v>780</v>
      </c>
      <c r="E338" s="41">
        <f>SUM(E331:E337)</f>
        <v>32.111250000000005</v>
      </c>
      <c r="F338" s="40">
        <f aca="true" t="shared" si="88" ref="F338:S338">SUM(F331:F337)</f>
        <v>28.065</v>
      </c>
      <c r="G338" s="40">
        <f t="shared" si="88"/>
        <v>79.69875</v>
      </c>
      <c r="H338" s="40">
        <f t="shared" si="88"/>
        <v>699.825</v>
      </c>
      <c r="I338" s="40">
        <f t="shared" si="88"/>
        <v>0.4925</v>
      </c>
      <c r="J338" s="40">
        <f t="shared" si="88"/>
        <v>0.41475</v>
      </c>
      <c r="K338" s="40">
        <f t="shared" si="88"/>
        <v>17.915</v>
      </c>
      <c r="L338" s="40">
        <f t="shared" si="88"/>
        <v>0.16846250000000002</v>
      </c>
      <c r="M338" s="40">
        <f t="shared" si="88"/>
        <v>4.8925</v>
      </c>
      <c r="N338" s="40">
        <f t="shared" si="88"/>
        <v>232.135</v>
      </c>
      <c r="O338" s="40">
        <f t="shared" si="88"/>
        <v>376.3</v>
      </c>
      <c r="P338" s="40">
        <f t="shared" si="88"/>
        <v>3.34405</v>
      </c>
      <c r="Q338" s="40">
        <f t="shared" si="88"/>
        <v>0.015525</v>
      </c>
      <c r="R338" s="40">
        <f t="shared" si="88"/>
        <v>89.3725</v>
      </c>
      <c r="S338" s="40">
        <f t="shared" si="88"/>
        <v>4.538749999999999</v>
      </c>
      <c r="T338" s="40"/>
      <c r="U338" s="43"/>
      <c r="V338" s="43"/>
      <c r="W338" s="43"/>
    </row>
    <row r="339" spans="1:23" s="3" customFormat="1" ht="11.25" customHeight="1">
      <c r="A339" s="229" t="s">
        <v>77</v>
      </c>
      <c r="B339" s="230"/>
      <c r="C339" s="230"/>
      <c r="D339" s="231"/>
      <c r="E339" s="102">
        <f aca="true" t="shared" si="89" ref="E339:S339">E338/E346</f>
        <v>0.41702922077922083</v>
      </c>
      <c r="F339" s="46">
        <f t="shared" si="89"/>
        <v>0.35525316455696204</v>
      </c>
      <c r="G339" s="46">
        <f t="shared" si="89"/>
        <v>0.23790671641791045</v>
      </c>
      <c r="H339" s="46">
        <f t="shared" si="89"/>
        <v>0.29779787234042554</v>
      </c>
      <c r="I339" s="46">
        <f t="shared" si="89"/>
        <v>0.41041666666666665</v>
      </c>
      <c r="J339" s="46">
        <f t="shared" si="89"/>
        <v>0.29625</v>
      </c>
      <c r="K339" s="46">
        <f t="shared" si="89"/>
        <v>0.2985833333333333</v>
      </c>
      <c r="L339" s="46">
        <f t="shared" si="89"/>
        <v>0.2406607142857143</v>
      </c>
      <c r="M339" s="46">
        <f t="shared" si="89"/>
        <v>0.48925</v>
      </c>
      <c r="N339" s="46">
        <f t="shared" si="89"/>
        <v>0.21103181818181818</v>
      </c>
      <c r="O339" s="46">
        <f t="shared" si="89"/>
        <v>0.3420909090909091</v>
      </c>
      <c r="P339" s="46">
        <f t="shared" si="89"/>
        <v>0.334405</v>
      </c>
      <c r="Q339" s="46">
        <f t="shared" si="89"/>
        <v>0.15525</v>
      </c>
      <c r="R339" s="46">
        <f t="shared" si="89"/>
        <v>0.35749000000000003</v>
      </c>
      <c r="S339" s="46">
        <f t="shared" si="89"/>
        <v>0.3782291666666666</v>
      </c>
      <c r="T339" s="51"/>
      <c r="U339" s="43"/>
      <c r="V339" s="43"/>
      <c r="W339" s="43"/>
    </row>
    <row r="340" spans="1:23" s="3" customFormat="1" ht="11.25" customHeight="1">
      <c r="A340" s="203" t="s">
        <v>29</v>
      </c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5"/>
      <c r="T340" s="11"/>
      <c r="U340" s="24"/>
      <c r="V340" s="24"/>
      <c r="W340" s="24"/>
    </row>
    <row r="341" spans="1:23" s="3" customFormat="1" ht="11.25">
      <c r="A341" s="105">
        <v>401</v>
      </c>
      <c r="B341" s="191" t="s">
        <v>144</v>
      </c>
      <c r="C341" s="191"/>
      <c r="D341" s="72" t="s">
        <v>59</v>
      </c>
      <c r="E341" s="76">
        <v>10.9</v>
      </c>
      <c r="F341" s="73">
        <v>11.9</v>
      </c>
      <c r="G341" s="73">
        <v>57.3</v>
      </c>
      <c r="H341" s="73">
        <f>E341*4+F341*9+G341*4</f>
        <v>379.9</v>
      </c>
      <c r="I341" s="76">
        <v>0.15</v>
      </c>
      <c r="J341" s="76">
        <v>0.15</v>
      </c>
      <c r="K341" s="76">
        <v>0.15</v>
      </c>
      <c r="L341" s="76">
        <v>0.11</v>
      </c>
      <c r="M341" s="72">
        <v>1.6</v>
      </c>
      <c r="N341" s="76">
        <v>77.25</v>
      </c>
      <c r="O341" s="76">
        <v>135.45</v>
      </c>
      <c r="P341" s="73">
        <v>1.3</v>
      </c>
      <c r="Q341" s="76">
        <v>0.01</v>
      </c>
      <c r="R341" s="73">
        <v>23.6</v>
      </c>
      <c r="S341" s="76">
        <v>0.4</v>
      </c>
      <c r="T341" s="78"/>
      <c r="U341" s="79"/>
      <c r="V341" s="79"/>
      <c r="W341" s="79"/>
    </row>
    <row r="342" spans="1:23" s="3" customFormat="1" ht="11.25">
      <c r="A342" s="105">
        <v>377</v>
      </c>
      <c r="B342" s="191" t="s">
        <v>47</v>
      </c>
      <c r="C342" s="191"/>
      <c r="D342" s="74" t="s">
        <v>54</v>
      </c>
      <c r="E342" s="76">
        <v>0.26</v>
      </c>
      <c r="F342" s="76">
        <v>0.06</v>
      </c>
      <c r="G342" s="76">
        <v>15.22</v>
      </c>
      <c r="H342" s="76">
        <f>E342*4+F342*9+G342*4</f>
        <v>62.46</v>
      </c>
      <c r="I342" s="76"/>
      <c r="J342" s="76">
        <v>0.01</v>
      </c>
      <c r="K342" s="76">
        <v>2.9</v>
      </c>
      <c r="L342" s="72">
        <v>0</v>
      </c>
      <c r="M342" s="76">
        <v>0.06</v>
      </c>
      <c r="N342" s="76">
        <v>8.05</v>
      </c>
      <c r="O342" s="76">
        <v>9.78</v>
      </c>
      <c r="P342" s="76">
        <v>0.017</v>
      </c>
      <c r="Q342" s="77">
        <v>0</v>
      </c>
      <c r="R342" s="76">
        <v>5.24</v>
      </c>
      <c r="S342" s="76">
        <v>0.87</v>
      </c>
      <c r="T342" s="78"/>
      <c r="U342" s="79"/>
      <c r="V342" s="79"/>
      <c r="W342" s="79"/>
    </row>
    <row r="343" spans="1:23" s="1" customFormat="1" ht="11.25" customHeight="1">
      <c r="A343" s="66" t="s">
        <v>30</v>
      </c>
      <c r="B343" s="67"/>
      <c r="C343" s="67"/>
      <c r="D343" s="130">
        <v>374</v>
      </c>
      <c r="E343" s="41">
        <f>SUM(E341:E342)</f>
        <v>11.16</v>
      </c>
      <c r="F343" s="40">
        <f>SUM(F341:F342)</f>
        <v>11.96</v>
      </c>
      <c r="G343" s="40">
        <f>SUM(G341:G342)</f>
        <v>72.52</v>
      </c>
      <c r="H343" s="40">
        <f>SUM(H341:H342)</f>
        <v>442.35999999999996</v>
      </c>
      <c r="I343" s="41">
        <f aca="true" t="shared" si="90" ref="I343:S343">SUM(I341:I342)</f>
        <v>0.15</v>
      </c>
      <c r="J343" s="41">
        <f t="shared" si="90"/>
        <v>0.16</v>
      </c>
      <c r="K343" s="40">
        <f t="shared" si="90"/>
        <v>3.05</v>
      </c>
      <c r="L343" s="40">
        <f t="shared" si="90"/>
        <v>0.11</v>
      </c>
      <c r="M343" s="40">
        <f t="shared" si="90"/>
        <v>1.6600000000000001</v>
      </c>
      <c r="N343" s="40">
        <f t="shared" si="90"/>
        <v>85.3</v>
      </c>
      <c r="O343" s="40">
        <f t="shared" si="90"/>
        <v>145.23</v>
      </c>
      <c r="P343" s="40">
        <f t="shared" si="90"/>
        <v>1.317</v>
      </c>
      <c r="Q343" s="42">
        <f t="shared" si="90"/>
        <v>0.01</v>
      </c>
      <c r="R343" s="40">
        <f t="shared" si="90"/>
        <v>28.840000000000003</v>
      </c>
      <c r="S343" s="41">
        <f t="shared" si="90"/>
        <v>1.27</v>
      </c>
      <c r="T343" s="40"/>
      <c r="U343" s="43"/>
      <c r="V343" s="43"/>
      <c r="W343" s="43"/>
    </row>
    <row r="344" spans="1:23" s="1" customFormat="1" ht="11.25" customHeight="1">
      <c r="A344" s="229" t="s">
        <v>77</v>
      </c>
      <c r="B344" s="230"/>
      <c r="C344" s="230"/>
      <c r="D344" s="231"/>
      <c r="E344" s="81">
        <f>E343/E346</f>
        <v>0.14493506493506494</v>
      </c>
      <c r="F344" s="46">
        <f aca="true" t="shared" si="91" ref="F344:S344">F343/F346</f>
        <v>0.15139240506329116</v>
      </c>
      <c r="G344" s="46">
        <f t="shared" si="91"/>
        <v>0.2164776119402985</v>
      </c>
      <c r="H344" s="46">
        <f t="shared" si="91"/>
        <v>0.18823829787234042</v>
      </c>
      <c r="I344" s="46">
        <f t="shared" si="91"/>
        <v>0.125</v>
      </c>
      <c r="J344" s="46">
        <f t="shared" si="91"/>
        <v>0.1142857142857143</v>
      </c>
      <c r="K344" s="46">
        <f t="shared" si="91"/>
        <v>0.05083333333333333</v>
      </c>
      <c r="L344" s="46">
        <f t="shared" si="91"/>
        <v>0.15714285714285717</v>
      </c>
      <c r="M344" s="46">
        <f t="shared" si="91"/>
        <v>0.166</v>
      </c>
      <c r="N344" s="46">
        <f t="shared" si="91"/>
        <v>0.07754545454545454</v>
      </c>
      <c r="O344" s="46">
        <f t="shared" si="91"/>
        <v>0.13202727272727272</v>
      </c>
      <c r="P344" s="46">
        <f t="shared" si="91"/>
        <v>0.13169999999999998</v>
      </c>
      <c r="Q344" s="46">
        <f t="shared" si="91"/>
        <v>0.09999999999999999</v>
      </c>
      <c r="R344" s="46">
        <f t="shared" si="91"/>
        <v>0.11536000000000002</v>
      </c>
      <c r="S344" s="46">
        <f t="shared" si="91"/>
        <v>0.10583333333333333</v>
      </c>
      <c r="T344" s="51"/>
      <c r="U344" s="43"/>
      <c r="V344" s="43"/>
      <c r="W344" s="43"/>
    </row>
    <row r="345" spans="1:23" s="1" customFormat="1" ht="11.25" customHeight="1">
      <c r="A345" s="219" t="s">
        <v>76</v>
      </c>
      <c r="B345" s="220"/>
      <c r="C345" s="220"/>
      <c r="D345" s="221"/>
      <c r="E345" s="41">
        <f aca="true" t="shared" si="92" ref="E345:S345">SUM(E327,E338,E343)</f>
        <v>67.56791666666668</v>
      </c>
      <c r="F345" s="40">
        <f t="shared" si="92"/>
        <v>61.72833333333333</v>
      </c>
      <c r="G345" s="40">
        <f t="shared" si="92"/>
        <v>251.84875</v>
      </c>
      <c r="H345" s="40">
        <f t="shared" si="92"/>
        <v>1833.2216666666666</v>
      </c>
      <c r="I345" s="41">
        <f t="shared" si="92"/>
        <v>1.0461666666666667</v>
      </c>
      <c r="J345" s="41">
        <f t="shared" si="92"/>
        <v>0.8160833333333334</v>
      </c>
      <c r="K345" s="40">
        <f t="shared" si="92"/>
        <v>93.19166666666668</v>
      </c>
      <c r="L345" s="41">
        <f t="shared" si="92"/>
        <v>0.7274625</v>
      </c>
      <c r="M345" s="41">
        <f t="shared" si="92"/>
        <v>11.225833333333334</v>
      </c>
      <c r="N345" s="40">
        <f t="shared" si="92"/>
        <v>509.6983333333333</v>
      </c>
      <c r="O345" s="40">
        <f t="shared" si="92"/>
        <v>955.4233333333334</v>
      </c>
      <c r="P345" s="41">
        <f t="shared" si="92"/>
        <v>8.921716666666667</v>
      </c>
      <c r="Q345" s="42">
        <f t="shared" si="92"/>
        <v>0.06635833333333332</v>
      </c>
      <c r="R345" s="41">
        <f t="shared" si="92"/>
        <v>196.9725</v>
      </c>
      <c r="S345" s="41">
        <f t="shared" si="92"/>
        <v>9.872083333333332</v>
      </c>
      <c r="T345" s="44"/>
      <c r="U345" s="43"/>
      <c r="V345" s="43"/>
      <c r="W345" s="43"/>
    </row>
    <row r="346" spans="1:23" s="1" customFormat="1" ht="11.25" customHeight="1">
      <c r="A346" s="219" t="s">
        <v>78</v>
      </c>
      <c r="B346" s="220"/>
      <c r="C346" s="220"/>
      <c r="D346" s="221"/>
      <c r="E346" s="76">
        <v>77</v>
      </c>
      <c r="F346" s="73">
        <v>79</v>
      </c>
      <c r="G346" s="73">
        <v>335</v>
      </c>
      <c r="H346" s="73">
        <v>2350</v>
      </c>
      <c r="I346" s="76">
        <v>1.2</v>
      </c>
      <c r="J346" s="76">
        <v>1.4</v>
      </c>
      <c r="K346" s="74">
        <v>60</v>
      </c>
      <c r="L346" s="76">
        <v>0.7</v>
      </c>
      <c r="M346" s="74">
        <v>10</v>
      </c>
      <c r="N346" s="74">
        <v>1100</v>
      </c>
      <c r="O346" s="74">
        <v>1100</v>
      </c>
      <c r="P346" s="74">
        <v>10</v>
      </c>
      <c r="Q346" s="73">
        <v>0.1</v>
      </c>
      <c r="R346" s="74">
        <v>250</v>
      </c>
      <c r="S346" s="76">
        <v>12</v>
      </c>
      <c r="T346" s="78"/>
      <c r="U346" s="79"/>
      <c r="V346" s="79"/>
      <c r="W346" s="79"/>
    </row>
    <row r="347" spans="1:23" s="1" customFormat="1" ht="11.25" customHeight="1">
      <c r="A347" s="229" t="s">
        <v>77</v>
      </c>
      <c r="B347" s="230"/>
      <c r="C347" s="230"/>
      <c r="D347" s="231"/>
      <c r="E347" s="81">
        <f aca="true" t="shared" si="93" ref="E347:S347">E345/E346</f>
        <v>0.8775054112554114</v>
      </c>
      <c r="F347" s="46">
        <f t="shared" si="93"/>
        <v>0.7813713080168776</v>
      </c>
      <c r="G347" s="46">
        <f t="shared" si="93"/>
        <v>0.7517873134328358</v>
      </c>
      <c r="H347" s="46">
        <f t="shared" si="93"/>
        <v>0.7800943262411347</v>
      </c>
      <c r="I347" s="46">
        <f t="shared" si="93"/>
        <v>0.8718055555555556</v>
      </c>
      <c r="J347" s="46">
        <f t="shared" si="93"/>
        <v>0.5829166666666667</v>
      </c>
      <c r="K347" s="47">
        <f t="shared" si="93"/>
        <v>1.5531944444444445</v>
      </c>
      <c r="L347" s="47">
        <f t="shared" si="93"/>
        <v>1.039232142857143</v>
      </c>
      <c r="M347" s="47">
        <f t="shared" si="93"/>
        <v>1.1225833333333335</v>
      </c>
      <c r="N347" s="46">
        <f t="shared" si="93"/>
        <v>0.4633621212121212</v>
      </c>
      <c r="O347" s="46">
        <f t="shared" si="93"/>
        <v>0.8685666666666667</v>
      </c>
      <c r="P347" s="46">
        <f t="shared" si="93"/>
        <v>0.8921716666666667</v>
      </c>
      <c r="Q347" s="47">
        <f t="shared" si="93"/>
        <v>0.6635833333333332</v>
      </c>
      <c r="R347" s="46">
        <f t="shared" si="93"/>
        <v>0.78789</v>
      </c>
      <c r="S347" s="47">
        <f t="shared" si="93"/>
        <v>0.822673611111111</v>
      </c>
      <c r="T347" s="48"/>
      <c r="U347" s="49"/>
      <c r="V347" s="49"/>
      <c r="W347" s="49"/>
    </row>
    <row r="348" spans="1:23" s="1" customFormat="1" ht="11.25" customHeight="1">
      <c r="A348" s="59" t="s">
        <v>128</v>
      </c>
      <c r="B348" s="59"/>
      <c r="C348" s="166"/>
      <c r="D348" s="166"/>
      <c r="E348" s="98"/>
      <c r="F348" s="75"/>
      <c r="G348" s="2"/>
      <c r="H348" s="2"/>
      <c r="I348" s="175"/>
      <c r="J348" s="175"/>
      <c r="K348" s="176"/>
      <c r="L348" s="175"/>
      <c r="M348" s="175"/>
      <c r="N348" s="175"/>
      <c r="O348" s="175"/>
      <c r="P348" s="175"/>
      <c r="Q348" s="175"/>
      <c r="R348" s="175"/>
      <c r="S348" s="175"/>
      <c r="T348" s="48"/>
      <c r="U348" s="49"/>
      <c r="V348" s="49"/>
      <c r="W348" s="49"/>
    </row>
    <row r="349" spans="1:23" s="1" customFormat="1" ht="11.25" customHeight="1">
      <c r="A349" s="59" t="s">
        <v>172</v>
      </c>
      <c r="B349" s="59"/>
      <c r="C349" s="166"/>
      <c r="D349" s="166"/>
      <c r="E349" s="98"/>
      <c r="F349" s="75"/>
      <c r="G349" s="2"/>
      <c r="H349" s="2"/>
      <c r="I349" s="175"/>
      <c r="J349" s="175"/>
      <c r="K349" s="176"/>
      <c r="L349" s="175"/>
      <c r="M349" s="175"/>
      <c r="N349" s="175"/>
      <c r="O349" s="175"/>
      <c r="P349" s="175"/>
      <c r="Q349" s="175"/>
      <c r="R349" s="175"/>
      <c r="S349" s="175"/>
      <c r="T349" s="48"/>
      <c r="U349" s="49"/>
      <c r="V349" s="49"/>
      <c r="W349" s="49"/>
    </row>
    <row r="350" spans="1:23" s="1" customFormat="1" ht="11.25" customHeight="1">
      <c r="A350" s="62"/>
      <c r="B350" s="59"/>
      <c r="C350" s="59"/>
      <c r="D350" s="75"/>
      <c r="E350" s="36"/>
      <c r="F350" s="75"/>
      <c r="G350" s="75"/>
      <c r="H350" s="75"/>
      <c r="I350" s="75"/>
      <c r="J350" s="75"/>
      <c r="K350" s="75"/>
      <c r="L350" s="232" t="s">
        <v>89</v>
      </c>
      <c r="M350" s="232"/>
      <c r="N350" s="232"/>
      <c r="O350" s="232"/>
      <c r="P350" s="232"/>
      <c r="Q350" s="232"/>
      <c r="R350" s="232"/>
      <c r="S350" s="232"/>
      <c r="T350" s="12"/>
      <c r="U350" s="19"/>
      <c r="V350" s="19"/>
      <c r="W350" s="19"/>
    </row>
    <row r="351" spans="1:23" s="1" customFormat="1" ht="11.25" customHeight="1">
      <c r="A351" s="236" t="s">
        <v>45</v>
      </c>
      <c r="B351" s="236"/>
      <c r="C351" s="236"/>
      <c r="D351" s="236"/>
      <c r="E351" s="236"/>
      <c r="F351" s="236"/>
      <c r="G351" s="236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236"/>
      <c r="S351" s="236"/>
      <c r="T351" s="13"/>
      <c r="U351" s="25"/>
      <c r="V351" s="25"/>
      <c r="W351" s="25"/>
    </row>
    <row r="352" spans="1:23" s="1" customFormat="1" ht="11.25" customHeight="1">
      <c r="A352" s="63" t="s">
        <v>66</v>
      </c>
      <c r="B352" s="59"/>
      <c r="C352" s="59"/>
      <c r="D352" s="2"/>
      <c r="E352" s="36"/>
      <c r="F352" s="224" t="s">
        <v>39</v>
      </c>
      <c r="G352" s="224"/>
      <c r="H352" s="224"/>
      <c r="I352" s="75"/>
      <c r="J352" s="75"/>
      <c r="K352" s="222" t="s">
        <v>1</v>
      </c>
      <c r="L352" s="222"/>
      <c r="M352" s="217" t="s">
        <v>85</v>
      </c>
      <c r="N352" s="217"/>
      <c r="O352" s="217"/>
      <c r="P352" s="217"/>
      <c r="Q352" s="75"/>
      <c r="R352" s="75"/>
      <c r="S352" s="75"/>
      <c r="T352" s="14"/>
      <c r="U352" s="20"/>
      <c r="V352" s="20"/>
      <c r="W352" s="20"/>
    </row>
    <row r="353" spans="1:23" s="1" customFormat="1" ht="11.25" customHeight="1">
      <c r="A353" s="59"/>
      <c r="B353" s="59"/>
      <c r="C353" s="59"/>
      <c r="D353" s="222" t="s">
        <v>2</v>
      </c>
      <c r="E353" s="222"/>
      <c r="F353" s="7">
        <v>2</v>
      </c>
      <c r="G353" s="75"/>
      <c r="H353" s="2"/>
      <c r="I353" s="2"/>
      <c r="J353" s="2"/>
      <c r="K353" s="222" t="s">
        <v>3</v>
      </c>
      <c r="L353" s="222"/>
      <c r="M353" s="224" t="s">
        <v>68</v>
      </c>
      <c r="N353" s="224"/>
      <c r="O353" s="224"/>
      <c r="P353" s="224"/>
      <c r="Q353" s="224"/>
      <c r="R353" s="224"/>
      <c r="S353" s="224"/>
      <c r="T353" s="15"/>
      <c r="U353" s="21"/>
      <c r="V353" s="21"/>
      <c r="W353" s="21"/>
    </row>
    <row r="354" spans="1:23" s="1" customFormat="1" ht="21.75" customHeight="1">
      <c r="A354" s="209" t="s">
        <v>4</v>
      </c>
      <c r="B354" s="209" t="s">
        <v>5</v>
      </c>
      <c r="C354" s="209"/>
      <c r="D354" s="209" t="s">
        <v>6</v>
      </c>
      <c r="E354" s="206" t="s">
        <v>7</v>
      </c>
      <c r="F354" s="207"/>
      <c r="G354" s="208"/>
      <c r="H354" s="209" t="s">
        <v>8</v>
      </c>
      <c r="I354" s="225" t="s">
        <v>9</v>
      </c>
      <c r="J354" s="225"/>
      <c r="K354" s="225"/>
      <c r="L354" s="225"/>
      <c r="M354" s="225"/>
      <c r="N354" s="225" t="s">
        <v>10</v>
      </c>
      <c r="O354" s="225"/>
      <c r="P354" s="225"/>
      <c r="Q354" s="225"/>
      <c r="R354" s="225"/>
      <c r="S354" s="225"/>
      <c r="T354" s="9"/>
      <c r="U354" s="22"/>
      <c r="V354" s="22"/>
      <c r="W354" s="22"/>
    </row>
    <row r="355" spans="1:23" s="1" customFormat="1" ht="21" customHeight="1">
      <c r="A355" s="210"/>
      <c r="B355" s="213"/>
      <c r="C355" s="214"/>
      <c r="D355" s="210"/>
      <c r="E355" s="96" t="s">
        <v>11</v>
      </c>
      <c r="F355" s="108" t="s">
        <v>12</v>
      </c>
      <c r="G355" s="108" t="s">
        <v>13</v>
      </c>
      <c r="H355" s="210"/>
      <c r="I355" s="108" t="s">
        <v>14</v>
      </c>
      <c r="J355" s="108" t="s">
        <v>69</v>
      </c>
      <c r="K355" s="108" t="s">
        <v>15</v>
      </c>
      <c r="L355" s="108" t="s">
        <v>16</v>
      </c>
      <c r="M355" s="108" t="s">
        <v>17</v>
      </c>
      <c r="N355" s="108" t="s">
        <v>18</v>
      </c>
      <c r="O355" s="108" t="s">
        <v>19</v>
      </c>
      <c r="P355" s="108" t="s">
        <v>70</v>
      </c>
      <c r="Q355" s="108" t="s">
        <v>71</v>
      </c>
      <c r="R355" s="108" t="s">
        <v>20</v>
      </c>
      <c r="S355" s="108" t="s">
        <v>21</v>
      </c>
      <c r="T355" s="9"/>
      <c r="U355" s="22"/>
      <c r="V355" s="22"/>
      <c r="W355" s="22"/>
    </row>
    <row r="356" spans="1:23" s="1" customFormat="1" ht="11.25" customHeight="1">
      <c r="A356" s="105">
        <v>1</v>
      </c>
      <c r="B356" s="235">
        <v>2</v>
      </c>
      <c r="C356" s="235"/>
      <c r="D356" s="39">
        <v>3</v>
      </c>
      <c r="E356" s="97">
        <v>4</v>
      </c>
      <c r="F356" s="39">
        <v>5</v>
      </c>
      <c r="G356" s="39">
        <v>6</v>
      </c>
      <c r="H356" s="39">
        <v>7</v>
      </c>
      <c r="I356" s="39">
        <v>8</v>
      </c>
      <c r="J356" s="39">
        <v>9</v>
      </c>
      <c r="K356" s="39">
        <v>10</v>
      </c>
      <c r="L356" s="39">
        <v>11</v>
      </c>
      <c r="M356" s="39">
        <v>12</v>
      </c>
      <c r="N356" s="39">
        <v>13</v>
      </c>
      <c r="O356" s="39">
        <v>14</v>
      </c>
      <c r="P356" s="39">
        <v>15</v>
      </c>
      <c r="Q356" s="39">
        <v>16</v>
      </c>
      <c r="R356" s="39">
        <v>17</v>
      </c>
      <c r="S356" s="39">
        <v>18</v>
      </c>
      <c r="T356" s="10"/>
      <c r="U356" s="23"/>
      <c r="V356" s="23"/>
      <c r="W356" s="23"/>
    </row>
    <row r="357" spans="1:23" s="1" customFormat="1" ht="11.25" customHeight="1">
      <c r="A357" s="203" t="s">
        <v>25</v>
      </c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5"/>
      <c r="T357" s="11"/>
      <c r="U357" s="24"/>
      <c r="V357" s="24"/>
      <c r="W357" s="24"/>
    </row>
    <row r="358" spans="1:23" s="1" customFormat="1" ht="11.25" customHeight="1">
      <c r="A358" s="88">
        <v>131</v>
      </c>
      <c r="B358" s="192" t="s">
        <v>117</v>
      </c>
      <c r="C358" s="193"/>
      <c r="D358" s="74">
        <v>20</v>
      </c>
      <c r="E358" s="76">
        <v>4.6</v>
      </c>
      <c r="F358" s="72">
        <v>0.24</v>
      </c>
      <c r="G358" s="73">
        <v>10.66</v>
      </c>
      <c r="H358" s="73">
        <f aca="true" t="shared" si="94" ref="H358:H363">E358*4+F358*9+G358*4</f>
        <v>63.2</v>
      </c>
      <c r="I358" s="72">
        <v>0.16</v>
      </c>
      <c r="J358" s="72">
        <v>0.04</v>
      </c>
      <c r="K358" s="74">
        <v>0</v>
      </c>
      <c r="L358" s="76">
        <v>0.002</v>
      </c>
      <c r="M358" s="72">
        <v>1.82</v>
      </c>
      <c r="N358" s="73">
        <v>23</v>
      </c>
      <c r="O358" s="73">
        <v>65.8</v>
      </c>
      <c r="P358" s="76">
        <v>0.64</v>
      </c>
      <c r="Q358" s="76">
        <v>0.00102</v>
      </c>
      <c r="R358" s="73">
        <v>21.4</v>
      </c>
      <c r="S358" s="76">
        <v>0.004</v>
      </c>
      <c r="T358" s="11"/>
      <c r="U358" s="24"/>
      <c r="V358" s="24"/>
      <c r="W358" s="24"/>
    </row>
    <row r="359" spans="1:23" s="3" customFormat="1" ht="15" customHeight="1">
      <c r="A359" s="113">
        <v>15</v>
      </c>
      <c r="B359" s="192" t="s">
        <v>111</v>
      </c>
      <c r="C359" s="193"/>
      <c r="D359" s="74">
        <v>20</v>
      </c>
      <c r="E359" s="76">
        <f>2.32*D359/10</f>
        <v>4.64</v>
      </c>
      <c r="F359" s="76">
        <f>3.4*D359/10</f>
        <v>6.8</v>
      </c>
      <c r="G359" s="76">
        <f>0.01*D359/10</f>
        <v>0.02</v>
      </c>
      <c r="H359" s="76">
        <f t="shared" si="94"/>
        <v>79.83999999999999</v>
      </c>
      <c r="I359" s="76">
        <f>0.004*D359/10</f>
        <v>0.008</v>
      </c>
      <c r="J359" s="76">
        <f>0.03*D359/10</f>
        <v>0.06</v>
      </c>
      <c r="K359" s="76">
        <f>0.07*D359/10</f>
        <v>0.14</v>
      </c>
      <c r="L359" s="77">
        <f>0.023*D359/10</f>
        <v>0.046</v>
      </c>
      <c r="M359" s="76">
        <f>0.05*D359/10</f>
        <v>0.1</v>
      </c>
      <c r="N359" s="76">
        <f>88*D359/10</f>
        <v>176</v>
      </c>
      <c r="O359" s="76">
        <f>50*D359/10</f>
        <v>100</v>
      </c>
      <c r="P359" s="76">
        <f>0.4*D359/10</f>
        <v>0.8</v>
      </c>
      <c r="Q359" s="77">
        <f>0.02*D359/10</f>
        <v>0.04</v>
      </c>
      <c r="R359" s="76">
        <f>3.5*D359/10</f>
        <v>7</v>
      </c>
      <c r="S359" s="76">
        <f>0.13*D359/10</f>
        <v>0.26</v>
      </c>
      <c r="T359" s="78"/>
      <c r="U359" s="79"/>
      <c r="V359" s="79"/>
      <c r="W359" s="79"/>
    </row>
    <row r="360" spans="1:23" s="3" customFormat="1" ht="12.75" customHeight="1">
      <c r="A360" s="105">
        <v>210</v>
      </c>
      <c r="B360" s="192" t="s">
        <v>50</v>
      </c>
      <c r="C360" s="193"/>
      <c r="D360" s="74">
        <v>200</v>
      </c>
      <c r="E360" s="76">
        <v>16.29</v>
      </c>
      <c r="F360" s="73">
        <v>18.99</v>
      </c>
      <c r="G360" s="73">
        <v>5.04</v>
      </c>
      <c r="H360" s="76">
        <f t="shared" si="94"/>
        <v>256.23</v>
      </c>
      <c r="I360" s="76">
        <v>0.117</v>
      </c>
      <c r="J360" s="76">
        <v>0.27</v>
      </c>
      <c r="K360" s="76">
        <v>0.32</v>
      </c>
      <c r="L360" s="76">
        <v>0.036</v>
      </c>
      <c r="M360" s="72">
        <v>1.944</v>
      </c>
      <c r="N360" s="76">
        <v>131.38</v>
      </c>
      <c r="O360" s="73">
        <v>248.49</v>
      </c>
      <c r="P360" s="76">
        <v>1.35</v>
      </c>
      <c r="Q360" s="76">
        <v>0.03</v>
      </c>
      <c r="R360" s="76">
        <v>21.55</v>
      </c>
      <c r="S360" s="76">
        <v>1.51</v>
      </c>
      <c r="T360" s="78"/>
      <c r="U360" s="79"/>
      <c r="V360" s="79"/>
      <c r="W360" s="79"/>
    </row>
    <row r="361" spans="1:23" s="75" customFormat="1" ht="11.25" customHeight="1">
      <c r="A361" s="113">
        <v>338</v>
      </c>
      <c r="B361" s="191" t="s">
        <v>168</v>
      </c>
      <c r="C361" s="191"/>
      <c r="D361" s="74">
        <v>100</v>
      </c>
      <c r="E361" s="76">
        <v>0.4</v>
      </c>
      <c r="F361" s="76">
        <v>0.4</v>
      </c>
      <c r="G361" s="76">
        <v>9.8</v>
      </c>
      <c r="H361" s="76">
        <f>E361*4+F361*9+G361*4</f>
        <v>44.400000000000006</v>
      </c>
      <c r="I361" s="76">
        <v>0.04</v>
      </c>
      <c r="J361" s="76">
        <v>0.02</v>
      </c>
      <c r="K361" s="74">
        <v>10</v>
      </c>
      <c r="L361" s="74">
        <v>0.02</v>
      </c>
      <c r="M361" s="76">
        <v>0.2</v>
      </c>
      <c r="N361" s="76">
        <v>16</v>
      </c>
      <c r="O361" s="76">
        <v>11</v>
      </c>
      <c r="P361" s="74">
        <v>0.03</v>
      </c>
      <c r="Q361" s="74">
        <v>0.002</v>
      </c>
      <c r="R361" s="76">
        <v>9</v>
      </c>
      <c r="S361" s="76">
        <v>2.2</v>
      </c>
      <c r="T361" s="78"/>
      <c r="U361" s="79"/>
      <c r="V361" s="79"/>
      <c r="W361" s="79"/>
    </row>
    <row r="362" spans="1:23" s="3" customFormat="1" ht="11.25" customHeight="1">
      <c r="A362" s="105">
        <v>376</v>
      </c>
      <c r="B362" s="191" t="s">
        <v>80</v>
      </c>
      <c r="C362" s="191"/>
      <c r="D362" s="74">
        <v>200</v>
      </c>
      <c r="E362" s="76">
        <v>0.2</v>
      </c>
      <c r="F362" s="76">
        <v>0.05</v>
      </c>
      <c r="G362" s="76">
        <v>15.01</v>
      </c>
      <c r="H362" s="76">
        <f t="shared" si="94"/>
        <v>61.29</v>
      </c>
      <c r="I362" s="74">
        <v>0</v>
      </c>
      <c r="J362" s="76">
        <v>0.01</v>
      </c>
      <c r="K362" s="76">
        <v>9</v>
      </c>
      <c r="L362" s="80">
        <v>0.0001</v>
      </c>
      <c r="M362" s="72">
        <v>0.045</v>
      </c>
      <c r="N362" s="76">
        <v>5.25</v>
      </c>
      <c r="O362" s="76">
        <v>8.24</v>
      </c>
      <c r="P362" s="77">
        <v>0.008</v>
      </c>
      <c r="Q362" s="74">
        <v>0</v>
      </c>
      <c r="R362" s="73">
        <v>4.4</v>
      </c>
      <c r="S362" s="76">
        <v>0.87</v>
      </c>
      <c r="T362" s="78"/>
      <c r="U362" s="79"/>
      <c r="V362" s="79"/>
      <c r="W362" s="79"/>
    </row>
    <row r="363" spans="1:23" s="3" customFormat="1" ht="12.75" customHeight="1">
      <c r="A363" s="82" t="s">
        <v>90</v>
      </c>
      <c r="B363" s="192" t="s">
        <v>62</v>
      </c>
      <c r="C363" s="193"/>
      <c r="D363" s="74">
        <v>40</v>
      </c>
      <c r="E363" s="76">
        <f>1.52*D363/30</f>
        <v>2.0266666666666664</v>
      </c>
      <c r="F363" s="77">
        <f>0.16*D363/30</f>
        <v>0.21333333333333335</v>
      </c>
      <c r="G363" s="77">
        <f>9.84*D363/30</f>
        <v>13.120000000000001</v>
      </c>
      <c r="H363" s="77">
        <f t="shared" si="94"/>
        <v>62.50666666666667</v>
      </c>
      <c r="I363" s="77">
        <f>0.02*D363/30</f>
        <v>0.02666666666666667</v>
      </c>
      <c r="J363" s="77">
        <f>0.01*D363/30</f>
        <v>0.013333333333333334</v>
      </c>
      <c r="K363" s="77">
        <f>0.44*D363/30</f>
        <v>0.5866666666666667</v>
      </c>
      <c r="L363" s="77">
        <v>0</v>
      </c>
      <c r="M363" s="77">
        <f>0.7*D363/30</f>
        <v>0.9333333333333333</v>
      </c>
      <c r="N363" s="77">
        <f>4*D363/30</f>
        <v>5.333333333333333</v>
      </c>
      <c r="O363" s="77">
        <f>13*D363/30</f>
        <v>17.333333333333332</v>
      </c>
      <c r="P363" s="77">
        <f>0.008*D363/30</f>
        <v>0.010666666666666666</v>
      </c>
      <c r="Q363" s="77">
        <f>0.001*D363/30</f>
        <v>0.0013333333333333333</v>
      </c>
      <c r="R363" s="77">
        <v>0</v>
      </c>
      <c r="S363" s="77">
        <f>0.22*D363/30</f>
        <v>0.29333333333333333</v>
      </c>
      <c r="T363" s="78"/>
      <c r="U363" s="79"/>
      <c r="V363" s="79"/>
      <c r="W363" s="79"/>
    </row>
    <row r="364" spans="1:23" s="3" customFormat="1" ht="11.25" customHeight="1">
      <c r="A364" s="66" t="s">
        <v>26</v>
      </c>
      <c r="B364" s="67"/>
      <c r="C364" s="67"/>
      <c r="D364" s="130">
        <f>SUM(D358:D363)</f>
        <v>580</v>
      </c>
      <c r="E364" s="41">
        <f aca="true" t="shared" si="95" ref="E364:S364">SUM(E358:E363)</f>
        <v>28.156666666666663</v>
      </c>
      <c r="F364" s="52">
        <f t="shared" si="95"/>
        <v>26.69333333333333</v>
      </c>
      <c r="G364" s="52">
        <f t="shared" si="95"/>
        <v>53.650000000000006</v>
      </c>
      <c r="H364" s="40">
        <f t="shared" si="95"/>
        <v>567.4666666666667</v>
      </c>
      <c r="I364" s="41">
        <f t="shared" si="95"/>
        <v>0.3516666666666667</v>
      </c>
      <c r="J364" s="41">
        <f t="shared" si="95"/>
        <v>0.41333333333333333</v>
      </c>
      <c r="K364" s="41">
        <f t="shared" si="95"/>
        <v>20.046666666666667</v>
      </c>
      <c r="L364" s="41">
        <f t="shared" si="95"/>
        <v>0.1041</v>
      </c>
      <c r="M364" s="40">
        <f t="shared" si="95"/>
        <v>5.042333333333334</v>
      </c>
      <c r="N364" s="40">
        <f t="shared" si="95"/>
        <v>356.9633333333333</v>
      </c>
      <c r="O364" s="40">
        <f t="shared" si="95"/>
        <v>450.86333333333334</v>
      </c>
      <c r="P364" s="40">
        <f t="shared" si="95"/>
        <v>2.8386666666666667</v>
      </c>
      <c r="Q364" s="41">
        <f t="shared" si="95"/>
        <v>0.07435333333333334</v>
      </c>
      <c r="R364" s="40">
        <f t="shared" si="95"/>
        <v>63.35</v>
      </c>
      <c r="S364" s="41">
        <f t="shared" si="95"/>
        <v>5.137333333333333</v>
      </c>
      <c r="T364" s="40"/>
      <c r="U364" s="43"/>
      <c r="V364" s="43"/>
      <c r="W364" s="43"/>
    </row>
    <row r="365" spans="1:23" s="3" customFormat="1" ht="11.25" customHeight="1">
      <c r="A365" s="229" t="s">
        <v>77</v>
      </c>
      <c r="B365" s="230"/>
      <c r="C365" s="230"/>
      <c r="D365" s="231"/>
      <c r="E365" s="102">
        <f>E364/E385</f>
        <v>0.36567099567099565</v>
      </c>
      <c r="F365" s="46">
        <f aca="true" t="shared" si="96" ref="F365:S365">F364/F385</f>
        <v>0.3378902953586498</v>
      </c>
      <c r="G365" s="46">
        <f t="shared" si="96"/>
        <v>0.1601492537313433</v>
      </c>
      <c r="H365" s="46">
        <f t="shared" si="96"/>
        <v>0.24147517730496454</v>
      </c>
      <c r="I365" s="46">
        <f t="shared" si="96"/>
        <v>0.29305555555555557</v>
      </c>
      <c r="J365" s="46">
        <f t="shared" si="96"/>
        <v>0.29523809523809524</v>
      </c>
      <c r="K365" s="46">
        <f t="shared" si="96"/>
        <v>0.33411111111111114</v>
      </c>
      <c r="L365" s="46">
        <f t="shared" si="96"/>
        <v>0.14871428571428572</v>
      </c>
      <c r="M365" s="46">
        <f t="shared" si="96"/>
        <v>0.5042333333333333</v>
      </c>
      <c r="N365" s="46">
        <f t="shared" si="96"/>
        <v>0.3245121212121212</v>
      </c>
      <c r="O365" s="46">
        <f t="shared" si="96"/>
        <v>0.40987575757575756</v>
      </c>
      <c r="P365" s="46">
        <f t="shared" si="96"/>
        <v>0.28386666666666666</v>
      </c>
      <c r="Q365" s="46">
        <f t="shared" si="96"/>
        <v>0.7435333333333334</v>
      </c>
      <c r="R365" s="46">
        <f t="shared" si="96"/>
        <v>0.2534</v>
      </c>
      <c r="S365" s="46">
        <f t="shared" si="96"/>
        <v>0.4281111111111111</v>
      </c>
      <c r="T365" s="51"/>
      <c r="U365" s="43"/>
      <c r="V365" s="43"/>
      <c r="W365" s="43"/>
    </row>
    <row r="366" spans="1:23" s="3" customFormat="1" ht="11.25" customHeight="1">
      <c r="A366" s="203" t="s">
        <v>27</v>
      </c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5"/>
      <c r="T366" s="11"/>
      <c r="U366" s="24"/>
      <c r="V366" s="24"/>
      <c r="W366" s="24"/>
    </row>
    <row r="367" spans="1:23" s="75" customFormat="1" ht="11.25" customHeight="1">
      <c r="A367" s="149" t="s">
        <v>127</v>
      </c>
      <c r="B367" s="244" t="s">
        <v>158</v>
      </c>
      <c r="C367" s="245"/>
      <c r="D367" s="143">
        <v>60</v>
      </c>
      <c r="E367" s="144">
        <f>0.94</f>
        <v>0.94</v>
      </c>
      <c r="F367" s="143">
        <v>2.106</v>
      </c>
      <c r="G367" s="143">
        <v>2.661</v>
      </c>
      <c r="H367" s="150">
        <f>E367*4+F367*9+G367*4</f>
        <v>33.358</v>
      </c>
      <c r="I367" s="143">
        <v>0.018</v>
      </c>
      <c r="J367" s="143">
        <v>0.034</v>
      </c>
      <c r="K367" s="143">
        <v>27.9</v>
      </c>
      <c r="L367" s="143">
        <v>0.002</v>
      </c>
      <c r="M367" s="151">
        <v>0.943</v>
      </c>
      <c r="N367" s="143">
        <v>26.09</v>
      </c>
      <c r="O367" s="144">
        <v>19.04</v>
      </c>
      <c r="P367" s="143">
        <v>0.224</v>
      </c>
      <c r="Q367" s="143">
        <v>0.014</v>
      </c>
      <c r="R367" s="144">
        <v>9</v>
      </c>
      <c r="S367" s="143">
        <v>0.367</v>
      </c>
      <c r="T367" s="11"/>
      <c r="U367" s="24"/>
      <c r="V367" s="24"/>
      <c r="W367" s="24"/>
    </row>
    <row r="368" spans="1:23" s="3" customFormat="1" ht="22.5" customHeight="1">
      <c r="A368" s="105">
        <v>24</v>
      </c>
      <c r="B368" s="233" t="s">
        <v>107</v>
      </c>
      <c r="C368" s="234"/>
      <c r="D368" s="74">
        <v>60</v>
      </c>
      <c r="E368" s="76">
        <v>0.3</v>
      </c>
      <c r="F368" s="76">
        <v>2</v>
      </c>
      <c r="G368" s="76">
        <v>1.6</v>
      </c>
      <c r="H368" s="76">
        <f aca="true" t="shared" si="97" ref="H368:H374">E368*4+F368*9+G368*4</f>
        <v>25.6</v>
      </c>
      <c r="I368" s="76">
        <v>0.06</v>
      </c>
      <c r="J368" s="76">
        <v>0.04</v>
      </c>
      <c r="K368" s="76">
        <v>12.4</v>
      </c>
      <c r="L368" s="76">
        <v>0.001</v>
      </c>
      <c r="M368" s="76">
        <v>1.5</v>
      </c>
      <c r="N368" s="76">
        <v>28.2</v>
      </c>
      <c r="O368" s="76">
        <v>32.3</v>
      </c>
      <c r="P368" s="76">
        <v>0.3</v>
      </c>
      <c r="Q368" s="76">
        <v>0.002</v>
      </c>
      <c r="R368" s="76">
        <v>18.6</v>
      </c>
      <c r="S368" s="76">
        <v>0.5</v>
      </c>
      <c r="T368" s="78"/>
      <c r="U368" s="79"/>
      <c r="V368" s="79"/>
      <c r="W368" s="79"/>
    </row>
    <row r="369" spans="1:23" s="3" customFormat="1" ht="22.5" customHeight="1">
      <c r="A369" s="105">
        <v>103</v>
      </c>
      <c r="B369" s="192" t="s">
        <v>100</v>
      </c>
      <c r="C369" s="193"/>
      <c r="D369" s="74">
        <v>200</v>
      </c>
      <c r="E369" s="76">
        <f>9.9*D369/200</f>
        <v>9.9</v>
      </c>
      <c r="F369" s="73">
        <f>8.9*D369/200</f>
        <v>8.9</v>
      </c>
      <c r="G369" s="73">
        <f>25.2*D369/200</f>
        <v>25.2</v>
      </c>
      <c r="H369" s="73">
        <f t="shared" si="97"/>
        <v>220.5</v>
      </c>
      <c r="I369" s="73">
        <f>0.2*D369/200</f>
        <v>0.2</v>
      </c>
      <c r="J369" s="73">
        <f>0.05*D369/200</f>
        <v>0.05</v>
      </c>
      <c r="K369" s="73">
        <f>6.6*D369/200</f>
        <v>6.6</v>
      </c>
      <c r="L369" s="76">
        <f>0.02*D369/200</f>
        <v>0.02</v>
      </c>
      <c r="M369" s="72">
        <v>0</v>
      </c>
      <c r="N369" s="73">
        <f>39.45*D369/200</f>
        <v>39.45</v>
      </c>
      <c r="O369" s="73">
        <f>74.65*D369/200</f>
        <v>74.65</v>
      </c>
      <c r="P369" s="74">
        <v>0</v>
      </c>
      <c r="Q369" s="74">
        <v>0</v>
      </c>
      <c r="R369" s="73">
        <f>21.82*D369/200</f>
        <v>21.82</v>
      </c>
      <c r="S369" s="76">
        <v>0.3</v>
      </c>
      <c r="T369" s="78"/>
      <c r="U369" s="79"/>
      <c r="V369" s="79"/>
      <c r="W369" s="79"/>
    </row>
    <row r="370" spans="1:23" s="3" customFormat="1" ht="12" customHeight="1">
      <c r="A370" s="105">
        <v>295</v>
      </c>
      <c r="B370" s="191" t="s">
        <v>87</v>
      </c>
      <c r="C370" s="191"/>
      <c r="D370" s="72">
        <v>90</v>
      </c>
      <c r="E370" s="76">
        <f>15.24*D370/100</f>
        <v>13.716</v>
      </c>
      <c r="F370" s="73">
        <f>5.8*D370/100</f>
        <v>5.22</v>
      </c>
      <c r="G370" s="73">
        <f>10.16*D370/100</f>
        <v>9.144</v>
      </c>
      <c r="H370" s="73">
        <f t="shared" si="97"/>
        <v>138.42</v>
      </c>
      <c r="I370" s="72">
        <f>0.09*D370/100</f>
        <v>0.081</v>
      </c>
      <c r="J370" s="76">
        <f>0.08*D370/100</f>
        <v>0.07200000000000001</v>
      </c>
      <c r="K370" s="76">
        <f>0.24*D370/100</f>
        <v>0.21599999999999997</v>
      </c>
      <c r="L370" s="77">
        <f>0.001*D370/100</f>
        <v>0.0009</v>
      </c>
      <c r="M370" s="77">
        <f>0.074*D370/100</f>
        <v>0.06659999999999999</v>
      </c>
      <c r="N370" s="73">
        <f>14.03*D370/100</f>
        <v>12.627</v>
      </c>
      <c r="O370" s="73">
        <f>93.98*D370/100</f>
        <v>84.58200000000001</v>
      </c>
      <c r="P370" s="76">
        <f>1.17*D370/100</f>
        <v>1.053</v>
      </c>
      <c r="Q370" s="77">
        <f>0.04*D370/100</f>
        <v>0.036000000000000004</v>
      </c>
      <c r="R370" s="73">
        <f>16.24*D370/100</f>
        <v>14.616</v>
      </c>
      <c r="S370" s="76">
        <f>0.3*D369/200</f>
        <v>0.3</v>
      </c>
      <c r="T370" s="78"/>
      <c r="U370" s="79"/>
      <c r="V370" s="79"/>
      <c r="W370" s="79"/>
    </row>
    <row r="371" spans="1:23" s="3" customFormat="1" ht="12.75" customHeight="1">
      <c r="A371" s="82">
        <v>171</v>
      </c>
      <c r="B371" s="192" t="s">
        <v>23</v>
      </c>
      <c r="C371" s="193"/>
      <c r="D371" s="74">
        <v>150</v>
      </c>
      <c r="E371" s="76">
        <v>6.57</v>
      </c>
      <c r="F371" s="76">
        <v>4.19</v>
      </c>
      <c r="G371" s="76">
        <v>32.32</v>
      </c>
      <c r="H371" s="76">
        <f t="shared" si="97"/>
        <v>193.27</v>
      </c>
      <c r="I371" s="76">
        <v>0.06</v>
      </c>
      <c r="J371" s="76">
        <v>0.03</v>
      </c>
      <c r="K371" s="72">
        <v>0</v>
      </c>
      <c r="L371" s="76">
        <v>0.03</v>
      </c>
      <c r="M371" s="72">
        <v>2.55</v>
      </c>
      <c r="N371" s="76">
        <v>18.12</v>
      </c>
      <c r="O371" s="76">
        <v>157.03</v>
      </c>
      <c r="P371" s="76">
        <v>0.8874</v>
      </c>
      <c r="Q371" s="80">
        <v>0.00135</v>
      </c>
      <c r="R371" s="76">
        <v>104.45</v>
      </c>
      <c r="S371" s="76">
        <v>3.55</v>
      </c>
      <c r="T371" s="78"/>
      <c r="U371" s="79"/>
      <c r="V371" s="79"/>
      <c r="W371" s="79"/>
    </row>
    <row r="372" spans="1:23" s="3" customFormat="1" ht="11.25" customHeight="1">
      <c r="A372" s="105">
        <v>389</v>
      </c>
      <c r="B372" s="192" t="s">
        <v>129</v>
      </c>
      <c r="C372" s="193"/>
      <c r="D372" s="74">
        <v>200</v>
      </c>
      <c r="E372" s="76">
        <v>1</v>
      </c>
      <c r="F372" s="76">
        <v>0.2</v>
      </c>
      <c r="G372" s="76">
        <v>20.2</v>
      </c>
      <c r="H372" s="76">
        <f>E372*4+F372*9+G372*4</f>
        <v>86.6</v>
      </c>
      <c r="I372" s="72">
        <v>0.02</v>
      </c>
      <c r="J372" s="72">
        <v>0.02</v>
      </c>
      <c r="K372" s="73">
        <v>4.8</v>
      </c>
      <c r="L372" s="72">
        <v>0</v>
      </c>
      <c r="M372" s="72">
        <v>0</v>
      </c>
      <c r="N372" s="73">
        <v>14</v>
      </c>
      <c r="O372" s="73">
        <v>18</v>
      </c>
      <c r="P372" s="73">
        <v>0.03</v>
      </c>
      <c r="Q372" s="73">
        <v>0</v>
      </c>
      <c r="R372" s="73">
        <v>8</v>
      </c>
      <c r="S372" s="76">
        <v>0.72</v>
      </c>
      <c r="T372" s="78"/>
      <c r="U372" s="79"/>
      <c r="V372" s="79"/>
      <c r="W372" s="79"/>
    </row>
    <row r="373" spans="1:23" s="3" customFormat="1" ht="11.25" customHeight="1">
      <c r="A373" s="83" t="s">
        <v>90</v>
      </c>
      <c r="B373" s="192" t="s">
        <v>48</v>
      </c>
      <c r="C373" s="193"/>
      <c r="D373" s="74">
        <v>40</v>
      </c>
      <c r="E373" s="76">
        <f>2.64*D373/40</f>
        <v>2.64</v>
      </c>
      <c r="F373" s="76">
        <f>0.48*D373/40</f>
        <v>0.48</v>
      </c>
      <c r="G373" s="76">
        <f>13.68*D373/40</f>
        <v>13.680000000000001</v>
      </c>
      <c r="H373" s="73">
        <f t="shared" si="97"/>
        <v>69.60000000000001</v>
      </c>
      <c r="I373" s="72">
        <f>0.08*D373/40</f>
        <v>0.08</v>
      </c>
      <c r="J373" s="76">
        <f>0.04*D373/40</f>
        <v>0.04</v>
      </c>
      <c r="K373" s="74">
        <v>0</v>
      </c>
      <c r="L373" s="74">
        <v>0</v>
      </c>
      <c r="M373" s="76">
        <f>2.4*D373/40</f>
        <v>2.4</v>
      </c>
      <c r="N373" s="76">
        <f>14*D373/40</f>
        <v>14</v>
      </c>
      <c r="O373" s="76">
        <f>63.2*D373/40</f>
        <v>63.2</v>
      </c>
      <c r="P373" s="76">
        <f>1.2*D373/40</f>
        <v>1.2</v>
      </c>
      <c r="Q373" s="77">
        <f>0.001*D373/40</f>
        <v>0.001</v>
      </c>
      <c r="R373" s="76">
        <f>9.4*D373/40</f>
        <v>9.4</v>
      </c>
      <c r="S373" s="72">
        <f>0.78*D373/40</f>
        <v>0.78</v>
      </c>
      <c r="T373" s="30"/>
      <c r="U373" s="31"/>
      <c r="V373" s="31"/>
      <c r="W373" s="31"/>
    </row>
    <row r="374" spans="1:23" s="3" customFormat="1" ht="11.25" customHeight="1">
      <c r="A374" s="82" t="s">
        <v>90</v>
      </c>
      <c r="B374" s="192" t="s">
        <v>62</v>
      </c>
      <c r="C374" s="193"/>
      <c r="D374" s="74">
        <v>30</v>
      </c>
      <c r="E374" s="76">
        <f>1.52*D374/30</f>
        <v>1.52</v>
      </c>
      <c r="F374" s="77">
        <f>0.16*D374/30</f>
        <v>0.16</v>
      </c>
      <c r="G374" s="77">
        <f>9.84*D374/30</f>
        <v>9.84</v>
      </c>
      <c r="H374" s="77">
        <f t="shared" si="97"/>
        <v>46.879999999999995</v>
      </c>
      <c r="I374" s="77">
        <f>0.02*D374/30</f>
        <v>0.02</v>
      </c>
      <c r="J374" s="77">
        <f>0.01*D374/30</f>
        <v>0.01</v>
      </c>
      <c r="K374" s="77">
        <f>0.44*D374/30</f>
        <v>0.44</v>
      </c>
      <c r="L374" s="77">
        <v>0</v>
      </c>
      <c r="M374" s="77">
        <f>0.7*D374/30</f>
        <v>0.7</v>
      </c>
      <c r="N374" s="77">
        <f>4*D374/30</f>
        <v>4</v>
      </c>
      <c r="O374" s="77">
        <f>13*D374/30</f>
        <v>13</v>
      </c>
      <c r="P374" s="77">
        <f>0.008*D374/30</f>
        <v>0.008</v>
      </c>
      <c r="Q374" s="77">
        <f>0.001*D374/30</f>
        <v>0.001</v>
      </c>
      <c r="R374" s="77">
        <v>0</v>
      </c>
      <c r="S374" s="77">
        <f>0.22*D374/30</f>
        <v>0.22</v>
      </c>
      <c r="T374" s="78"/>
      <c r="U374" s="79"/>
      <c r="V374" s="79"/>
      <c r="W374" s="79"/>
    </row>
    <row r="375" spans="1:23" s="3" customFormat="1" ht="11.25" customHeight="1">
      <c r="A375" s="66" t="s">
        <v>28</v>
      </c>
      <c r="B375" s="67"/>
      <c r="C375" s="67"/>
      <c r="D375" s="130">
        <f>SUM(D368:D374)</f>
        <v>770</v>
      </c>
      <c r="E375" s="41">
        <f>SUM(E368:E374)</f>
        <v>35.646</v>
      </c>
      <c r="F375" s="40">
        <f>SUM(F368:F374)</f>
        <v>21.150000000000002</v>
      </c>
      <c r="G375" s="40">
        <f>SUM(G368:G374)</f>
        <v>111.98400000000002</v>
      </c>
      <c r="H375" s="40">
        <f>SUM(H368:H374)</f>
        <v>780.87</v>
      </c>
      <c r="I375" s="40">
        <f aca="true" t="shared" si="98" ref="I375:S375">SUM(I368:I374)</f>
        <v>0.521</v>
      </c>
      <c r="J375" s="41">
        <f t="shared" si="98"/>
        <v>0.262</v>
      </c>
      <c r="K375" s="40">
        <f t="shared" si="98"/>
        <v>24.456000000000003</v>
      </c>
      <c r="L375" s="40">
        <f t="shared" si="98"/>
        <v>0.0519</v>
      </c>
      <c r="M375" s="45">
        <f t="shared" si="98"/>
        <v>7.216600000000001</v>
      </c>
      <c r="N375" s="40">
        <f t="shared" si="98"/>
        <v>130.397</v>
      </c>
      <c r="O375" s="40">
        <f t="shared" si="98"/>
        <v>442.762</v>
      </c>
      <c r="P375" s="40">
        <f t="shared" si="98"/>
        <v>3.4783999999999997</v>
      </c>
      <c r="Q375" s="42">
        <f t="shared" si="98"/>
        <v>0.041350000000000005</v>
      </c>
      <c r="R375" s="40">
        <f t="shared" si="98"/>
        <v>176.886</v>
      </c>
      <c r="S375" s="41">
        <f t="shared" si="98"/>
        <v>6.37</v>
      </c>
      <c r="T375" s="40"/>
      <c r="U375" s="43"/>
      <c r="V375" s="43"/>
      <c r="W375" s="43"/>
    </row>
    <row r="376" spans="1:23" s="3" customFormat="1" ht="11.25" customHeight="1">
      <c r="A376" s="229" t="s">
        <v>77</v>
      </c>
      <c r="B376" s="230"/>
      <c r="C376" s="230"/>
      <c r="D376" s="231"/>
      <c r="E376" s="81">
        <f>E375/E385</f>
        <v>0.4629350649350649</v>
      </c>
      <c r="F376" s="46">
        <f aca="true" t="shared" si="99" ref="F376:S376">F375/F385</f>
        <v>0.2677215189873418</v>
      </c>
      <c r="G376" s="46">
        <f t="shared" si="99"/>
        <v>0.33428059701492546</v>
      </c>
      <c r="H376" s="46">
        <f t="shared" si="99"/>
        <v>0.3322851063829787</v>
      </c>
      <c r="I376" s="46">
        <f t="shared" si="99"/>
        <v>0.4341666666666667</v>
      </c>
      <c r="J376" s="46">
        <f t="shared" si="99"/>
        <v>0.18714285714285717</v>
      </c>
      <c r="K376" s="46">
        <f t="shared" si="99"/>
        <v>0.4076000000000001</v>
      </c>
      <c r="L376" s="46">
        <f t="shared" si="99"/>
        <v>0.07414285714285715</v>
      </c>
      <c r="M376" s="46">
        <f t="shared" si="99"/>
        <v>0.7216600000000001</v>
      </c>
      <c r="N376" s="46">
        <f t="shared" si="99"/>
        <v>0.11854272727272726</v>
      </c>
      <c r="O376" s="46">
        <f t="shared" si="99"/>
        <v>0.4025109090909091</v>
      </c>
      <c r="P376" s="46">
        <f t="shared" si="99"/>
        <v>0.34784</v>
      </c>
      <c r="Q376" s="46">
        <f t="shared" si="99"/>
        <v>0.41350000000000003</v>
      </c>
      <c r="R376" s="46">
        <f t="shared" si="99"/>
        <v>0.707544</v>
      </c>
      <c r="S376" s="46">
        <f t="shared" si="99"/>
        <v>0.5308333333333334</v>
      </c>
      <c r="T376" s="51"/>
      <c r="U376" s="43"/>
      <c r="V376" s="43"/>
      <c r="W376" s="43"/>
    </row>
    <row r="377" spans="1:23" s="75" customFormat="1" ht="11.25" customHeight="1">
      <c r="A377" s="160" t="s">
        <v>109</v>
      </c>
      <c r="B377" s="161"/>
      <c r="C377" s="161"/>
      <c r="D377" s="161"/>
      <c r="E377" s="41">
        <f>E367+E369+E370+E371+E372+E373+E374</f>
        <v>36.286</v>
      </c>
      <c r="F377" s="41">
        <f aca="true" t="shared" si="100" ref="F377:S377">F367+F369+F370+F371+F372+F373+F374</f>
        <v>21.256</v>
      </c>
      <c r="G377" s="41">
        <f t="shared" si="100"/>
        <v>113.04500000000002</v>
      </c>
      <c r="H377" s="41">
        <f t="shared" si="100"/>
        <v>788.628</v>
      </c>
      <c r="I377" s="41">
        <f t="shared" si="100"/>
        <v>0.47900000000000004</v>
      </c>
      <c r="J377" s="41">
        <f t="shared" si="100"/>
        <v>0.256</v>
      </c>
      <c r="K377" s="41">
        <f t="shared" si="100"/>
        <v>39.955999999999996</v>
      </c>
      <c r="L377" s="41">
        <f t="shared" si="100"/>
        <v>0.0529</v>
      </c>
      <c r="M377" s="41">
        <f t="shared" si="100"/>
        <v>6.6596</v>
      </c>
      <c r="N377" s="41">
        <f t="shared" si="100"/>
        <v>128.287</v>
      </c>
      <c r="O377" s="41">
        <f t="shared" si="100"/>
        <v>429.502</v>
      </c>
      <c r="P377" s="41">
        <f t="shared" si="100"/>
        <v>3.402399999999999</v>
      </c>
      <c r="Q377" s="41">
        <f t="shared" si="100"/>
        <v>0.05335</v>
      </c>
      <c r="R377" s="41">
        <f t="shared" si="100"/>
        <v>167.286</v>
      </c>
      <c r="S377" s="41">
        <f t="shared" si="100"/>
        <v>6.236999999999999</v>
      </c>
      <c r="T377" s="51"/>
      <c r="U377" s="43"/>
      <c r="V377" s="43"/>
      <c r="W377" s="43"/>
    </row>
    <row r="378" spans="1:23" s="3" customFormat="1" ht="11.25" customHeight="1">
      <c r="A378" s="203" t="s">
        <v>29</v>
      </c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5"/>
      <c r="T378" s="11"/>
      <c r="U378" s="24"/>
      <c r="V378" s="24"/>
      <c r="W378" s="24"/>
    </row>
    <row r="379" spans="1:23" s="3" customFormat="1" ht="20.25" customHeight="1">
      <c r="A379" s="105">
        <v>341</v>
      </c>
      <c r="B379" s="192" t="s">
        <v>136</v>
      </c>
      <c r="C379" s="193"/>
      <c r="D379" s="74">
        <v>100</v>
      </c>
      <c r="E379" s="76">
        <f>0.39*D379/60</f>
        <v>0.65</v>
      </c>
      <c r="F379" s="76">
        <f>0.18*D379/60</f>
        <v>0.3</v>
      </c>
      <c r="G379" s="76">
        <f>5.37*D379/60</f>
        <v>8.95</v>
      </c>
      <c r="H379" s="73">
        <f>E379*4+F379*9+G379*4</f>
        <v>41.099999999999994</v>
      </c>
      <c r="I379" s="77">
        <f>0.02*D379/60</f>
        <v>0.03333333333333333</v>
      </c>
      <c r="J379" s="76">
        <f>0.02*D379/60</f>
        <v>0.03333333333333333</v>
      </c>
      <c r="K379" s="76">
        <f>22.95*D379/60</f>
        <v>38.25</v>
      </c>
      <c r="L379" s="77">
        <f>0.02*D379/60</f>
        <v>0.03333333333333333</v>
      </c>
      <c r="M379" s="72">
        <f>0.6*D379/60</f>
        <v>1</v>
      </c>
      <c r="N379" s="73">
        <f>15*D379/60</f>
        <v>25</v>
      </c>
      <c r="O379" s="76">
        <f>10.2*D379/60</f>
        <v>16.999999999999996</v>
      </c>
      <c r="P379" s="76">
        <f>0.13*D379/60</f>
        <v>0.21666666666666667</v>
      </c>
      <c r="Q379" s="77">
        <f>0.001*D379/60</f>
        <v>0.0016666666666666668</v>
      </c>
      <c r="R379" s="76">
        <f>6.6*D379/60</f>
        <v>11</v>
      </c>
      <c r="S379" s="76">
        <f>0.75*D379/60</f>
        <v>1.25</v>
      </c>
      <c r="T379" s="78"/>
      <c r="U379" s="79"/>
      <c r="V379" s="79"/>
      <c r="W379" s="79"/>
    </row>
    <row r="380" spans="1:23" s="3" customFormat="1" ht="21.75" customHeight="1">
      <c r="A380" s="82">
        <v>349</v>
      </c>
      <c r="B380" s="192" t="s">
        <v>53</v>
      </c>
      <c r="C380" s="193"/>
      <c r="D380" s="74">
        <v>200</v>
      </c>
      <c r="E380" s="76">
        <v>0.22</v>
      </c>
      <c r="F380" s="72"/>
      <c r="G380" s="76">
        <v>24.42</v>
      </c>
      <c r="H380" s="76">
        <f>E380*4+F380*9+G380*4</f>
        <v>98.56</v>
      </c>
      <c r="I380" s="72"/>
      <c r="J380" s="72"/>
      <c r="K380" s="76">
        <v>26.11</v>
      </c>
      <c r="L380" s="72"/>
      <c r="M380" s="72"/>
      <c r="N380" s="73">
        <v>22.6</v>
      </c>
      <c r="O380" s="73">
        <v>7.7</v>
      </c>
      <c r="P380" s="74">
        <v>0</v>
      </c>
      <c r="Q380" s="74">
        <v>0</v>
      </c>
      <c r="R380" s="73">
        <v>3</v>
      </c>
      <c r="S380" s="76">
        <v>0.66</v>
      </c>
      <c r="T380" s="78"/>
      <c r="U380" s="79"/>
      <c r="V380" s="79"/>
      <c r="W380" s="79"/>
    </row>
    <row r="381" spans="1:23" s="75" customFormat="1" ht="17.25" customHeight="1">
      <c r="A381" s="82" t="s">
        <v>164</v>
      </c>
      <c r="B381" s="192" t="s">
        <v>165</v>
      </c>
      <c r="C381" s="193"/>
      <c r="D381" s="74">
        <v>50</v>
      </c>
      <c r="E381" s="76">
        <v>3.8</v>
      </c>
      <c r="F381" s="72">
        <v>0.5</v>
      </c>
      <c r="G381" s="76">
        <v>24.7</v>
      </c>
      <c r="H381" s="76">
        <f>E381*4+F381*9+G381*4</f>
        <v>118.5</v>
      </c>
      <c r="I381" s="72">
        <v>0.02</v>
      </c>
      <c r="J381" s="72">
        <v>0.02</v>
      </c>
      <c r="K381" s="73">
        <v>4.8</v>
      </c>
      <c r="L381" s="72">
        <v>0</v>
      </c>
      <c r="M381" s="72">
        <v>0</v>
      </c>
      <c r="N381" s="73">
        <v>14</v>
      </c>
      <c r="O381" s="73">
        <v>18</v>
      </c>
      <c r="P381" s="73">
        <v>0.03</v>
      </c>
      <c r="Q381" s="73">
        <v>0</v>
      </c>
      <c r="R381" s="73">
        <v>8</v>
      </c>
      <c r="S381" s="76">
        <v>0.72</v>
      </c>
      <c r="T381" s="78"/>
      <c r="U381" s="79"/>
      <c r="V381" s="79"/>
      <c r="W381" s="79"/>
    </row>
    <row r="382" spans="1:23" s="1" customFormat="1" ht="11.25" customHeight="1">
      <c r="A382" s="66" t="s">
        <v>30</v>
      </c>
      <c r="B382" s="67"/>
      <c r="C382" s="67"/>
      <c r="D382" s="130">
        <f>SUM(D379:D381)</f>
        <v>350</v>
      </c>
      <c r="E382" s="134">
        <f aca="true" t="shared" si="101" ref="E382:S382">SUM(E379:E381)</f>
        <v>4.67</v>
      </c>
      <c r="F382" s="134">
        <f t="shared" si="101"/>
        <v>0.8</v>
      </c>
      <c r="G382" s="134">
        <f t="shared" si="101"/>
        <v>58.07000000000001</v>
      </c>
      <c r="H382" s="134">
        <f t="shared" si="101"/>
        <v>258.15999999999997</v>
      </c>
      <c r="I382" s="134">
        <f t="shared" si="101"/>
        <v>0.05333333333333333</v>
      </c>
      <c r="J382" s="134">
        <f t="shared" si="101"/>
        <v>0.05333333333333333</v>
      </c>
      <c r="K382" s="134">
        <f t="shared" si="101"/>
        <v>69.16</v>
      </c>
      <c r="L382" s="134">
        <f t="shared" si="101"/>
        <v>0.03333333333333333</v>
      </c>
      <c r="M382" s="134">
        <f t="shared" si="101"/>
        <v>1</v>
      </c>
      <c r="N382" s="134">
        <f t="shared" si="101"/>
        <v>61.6</v>
      </c>
      <c r="O382" s="134">
        <f t="shared" si="101"/>
        <v>42.699999999999996</v>
      </c>
      <c r="P382" s="134">
        <f t="shared" si="101"/>
        <v>0.24666666666666667</v>
      </c>
      <c r="Q382" s="134">
        <f t="shared" si="101"/>
        <v>0.0016666666666666668</v>
      </c>
      <c r="R382" s="134">
        <f t="shared" si="101"/>
        <v>22</v>
      </c>
      <c r="S382" s="134">
        <f t="shared" si="101"/>
        <v>2.63</v>
      </c>
      <c r="T382" s="40"/>
      <c r="U382" s="43"/>
      <c r="V382" s="43"/>
      <c r="W382" s="43"/>
    </row>
    <row r="383" spans="1:23" s="1" customFormat="1" ht="11.25" customHeight="1">
      <c r="A383" s="229" t="s">
        <v>77</v>
      </c>
      <c r="B383" s="230"/>
      <c r="C383" s="230"/>
      <c r="D383" s="231"/>
      <c r="E383" s="81">
        <f>E382/E385</f>
        <v>0.06064935064935065</v>
      </c>
      <c r="F383" s="46">
        <f aca="true" t="shared" si="102" ref="F383:S383">F382/F385</f>
        <v>0.010126582278481013</v>
      </c>
      <c r="G383" s="46">
        <f t="shared" si="102"/>
        <v>0.17334328358208959</v>
      </c>
      <c r="H383" s="46">
        <f t="shared" si="102"/>
        <v>0.10985531914893616</v>
      </c>
      <c r="I383" s="46">
        <f t="shared" si="102"/>
        <v>0.044444444444444446</v>
      </c>
      <c r="J383" s="46">
        <f t="shared" si="102"/>
        <v>0.03809523809523809</v>
      </c>
      <c r="K383" s="46">
        <f t="shared" si="102"/>
        <v>1.1526666666666665</v>
      </c>
      <c r="L383" s="46">
        <f t="shared" si="102"/>
        <v>0.04761904761904762</v>
      </c>
      <c r="M383" s="46">
        <f t="shared" si="102"/>
        <v>0.1</v>
      </c>
      <c r="N383" s="46">
        <f t="shared" si="102"/>
        <v>0.056</v>
      </c>
      <c r="O383" s="46">
        <f t="shared" si="102"/>
        <v>0.038818181818181814</v>
      </c>
      <c r="P383" s="46">
        <f t="shared" si="102"/>
        <v>0.024666666666666667</v>
      </c>
      <c r="Q383" s="46">
        <f t="shared" si="102"/>
        <v>0.016666666666666666</v>
      </c>
      <c r="R383" s="46">
        <f t="shared" si="102"/>
        <v>0.088</v>
      </c>
      <c r="S383" s="46">
        <f t="shared" si="102"/>
        <v>0.21916666666666665</v>
      </c>
      <c r="T383" s="51"/>
      <c r="U383" s="43"/>
      <c r="V383" s="43"/>
      <c r="W383" s="43"/>
    </row>
    <row r="384" spans="1:23" s="1" customFormat="1" ht="11.25" customHeight="1">
      <c r="A384" s="219" t="s">
        <v>76</v>
      </c>
      <c r="B384" s="220"/>
      <c r="C384" s="220"/>
      <c r="D384" s="221"/>
      <c r="E384" s="41">
        <f aca="true" t="shared" si="103" ref="E384:S384">SUM(E364,E375,E382)</f>
        <v>68.47266666666667</v>
      </c>
      <c r="F384" s="40">
        <f t="shared" si="103"/>
        <v>48.64333333333333</v>
      </c>
      <c r="G384" s="40">
        <f t="shared" si="103"/>
        <v>223.704</v>
      </c>
      <c r="H384" s="40">
        <f t="shared" si="103"/>
        <v>1606.4966666666664</v>
      </c>
      <c r="I384" s="41">
        <f t="shared" si="103"/>
        <v>0.926</v>
      </c>
      <c r="J384" s="41">
        <f t="shared" si="103"/>
        <v>0.7286666666666667</v>
      </c>
      <c r="K384" s="40">
        <f t="shared" si="103"/>
        <v>113.66266666666667</v>
      </c>
      <c r="L384" s="41">
        <f t="shared" si="103"/>
        <v>0.18933333333333333</v>
      </c>
      <c r="M384" s="41">
        <f t="shared" si="103"/>
        <v>13.258933333333335</v>
      </c>
      <c r="N384" s="40">
        <f t="shared" si="103"/>
        <v>548.9603333333333</v>
      </c>
      <c r="O384" s="40">
        <f t="shared" si="103"/>
        <v>936.3253333333334</v>
      </c>
      <c r="P384" s="41">
        <f t="shared" si="103"/>
        <v>6.563733333333333</v>
      </c>
      <c r="Q384" s="42">
        <f t="shared" si="103"/>
        <v>0.11737000000000002</v>
      </c>
      <c r="R384" s="41">
        <f t="shared" si="103"/>
        <v>262.236</v>
      </c>
      <c r="S384" s="41">
        <f t="shared" si="103"/>
        <v>14.137333333333334</v>
      </c>
      <c r="T384" s="44"/>
      <c r="U384" s="43"/>
      <c r="V384" s="43"/>
      <c r="W384" s="43"/>
    </row>
    <row r="385" spans="1:23" s="1" customFormat="1" ht="11.25" customHeight="1">
      <c r="A385" s="219" t="s">
        <v>78</v>
      </c>
      <c r="B385" s="220"/>
      <c r="C385" s="220"/>
      <c r="D385" s="221"/>
      <c r="E385" s="76">
        <v>77</v>
      </c>
      <c r="F385" s="73">
        <v>79</v>
      </c>
      <c r="G385" s="73">
        <v>335</v>
      </c>
      <c r="H385" s="73">
        <v>2350</v>
      </c>
      <c r="I385" s="76">
        <v>1.2</v>
      </c>
      <c r="J385" s="76">
        <v>1.4</v>
      </c>
      <c r="K385" s="74">
        <v>60</v>
      </c>
      <c r="L385" s="76">
        <v>0.7</v>
      </c>
      <c r="M385" s="74">
        <v>10</v>
      </c>
      <c r="N385" s="74">
        <v>1100</v>
      </c>
      <c r="O385" s="74">
        <v>1100</v>
      </c>
      <c r="P385" s="74">
        <v>10</v>
      </c>
      <c r="Q385" s="73">
        <v>0.1</v>
      </c>
      <c r="R385" s="74">
        <v>250</v>
      </c>
      <c r="S385" s="76">
        <v>12</v>
      </c>
      <c r="T385" s="78"/>
      <c r="U385" s="79"/>
      <c r="V385" s="79"/>
      <c r="W385" s="79"/>
    </row>
    <row r="386" spans="1:23" s="1" customFormat="1" ht="11.25" customHeight="1">
      <c r="A386" s="229" t="s">
        <v>77</v>
      </c>
      <c r="B386" s="230"/>
      <c r="C386" s="230"/>
      <c r="D386" s="231"/>
      <c r="E386" s="81">
        <f aca="true" t="shared" si="104" ref="E386:S386">E384/E385</f>
        <v>0.8892554112554113</v>
      </c>
      <c r="F386" s="46">
        <f t="shared" si="104"/>
        <v>0.6157383966244725</v>
      </c>
      <c r="G386" s="46">
        <f t="shared" si="104"/>
        <v>0.6677731343283583</v>
      </c>
      <c r="H386" s="46">
        <f t="shared" si="104"/>
        <v>0.6836156028368794</v>
      </c>
      <c r="I386" s="46">
        <f t="shared" si="104"/>
        <v>0.7716666666666667</v>
      </c>
      <c r="J386" s="46">
        <f t="shared" si="104"/>
        <v>0.5204761904761905</v>
      </c>
      <c r="K386" s="46">
        <f t="shared" si="104"/>
        <v>1.8943777777777777</v>
      </c>
      <c r="L386" s="47">
        <f t="shared" si="104"/>
        <v>0.2704761904761905</v>
      </c>
      <c r="M386" s="46">
        <f t="shared" si="104"/>
        <v>1.3258933333333336</v>
      </c>
      <c r="N386" s="46">
        <f t="shared" si="104"/>
        <v>0.4990548484848485</v>
      </c>
      <c r="O386" s="46">
        <f t="shared" si="104"/>
        <v>0.8512048484848486</v>
      </c>
      <c r="P386" s="46">
        <f t="shared" si="104"/>
        <v>0.6563733333333334</v>
      </c>
      <c r="Q386" s="47">
        <f t="shared" si="104"/>
        <v>1.1737000000000002</v>
      </c>
      <c r="R386" s="46">
        <f t="shared" si="104"/>
        <v>1.0489439999999999</v>
      </c>
      <c r="S386" s="47">
        <f t="shared" si="104"/>
        <v>1.178111111111111</v>
      </c>
      <c r="T386" s="48"/>
      <c r="U386" s="49"/>
      <c r="V386" s="49"/>
      <c r="W386" s="49"/>
    </row>
    <row r="387" spans="1:23" s="1" customFormat="1" ht="11.25" customHeight="1">
      <c r="A387" s="59" t="s">
        <v>128</v>
      </c>
      <c r="B387" s="59"/>
      <c r="C387" s="166"/>
      <c r="D387" s="166"/>
      <c r="E387" s="98"/>
      <c r="F387" s="75"/>
      <c r="G387" s="2"/>
      <c r="H387" s="2"/>
      <c r="I387" s="75"/>
      <c r="J387" s="75"/>
      <c r="K387" s="75"/>
      <c r="L387" s="223"/>
      <c r="M387" s="223"/>
      <c r="N387" s="223"/>
      <c r="O387" s="223"/>
      <c r="P387" s="223"/>
      <c r="Q387" s="223"/>
      <c r="R387" s="223"/>
      <c r="S387" s="223"/>
      <c r="T387" s="12"/>
      <c r="U387" s="19"/>
      <c r="V387" s="19"/>
      <c r="W387" s="19"/>
    </row>
    <row r="388" spans="1:23" s="1" customFormat="1" ht="11.25" customHeight="1">
      <c r="A388" s="59" t="s">
        <v>172</v>
      </c>
      <c r="B388" s="59"/>
      <c r="C388" s="166"/>
      <c r="D388" s="166"/>
      <c r="E388" s="98"/>
      <c r="F388" s="75"/>
      <c r="G388" s="2"/>
      <c r="H388" s="2"/>
      <c r="I388" s="75"/>
      <c r="J388" s="75"/>
      <c r="K388" s="75"/>
      <c r="L388" s="162"/>
      <c r="M388" s="162"/>
      <c r="N388" s="162"/>
      <c r="O388" s="162"/>
      <c r="P388" s="162"/>
      <c r="Q388" s="162"/>
      <c r="R388" s="162"/>
      <c r="S388" s="162"/>
      <c r="T388" s="12"/>
      <c r="U388" s="19"/>
      <c r="V388" s="19"/>
      <c r="W388" s="19"/>
    </row>
    <row r="389" spans="1:23" s="1" customFormat="1" ht="11.25" customHeight="1">
      <c r="A389" s="59"/>
      <c r="B389" s="59"/>
      <c r="C389" s="106"/>
      <c r="D389" s="106"/>
      <c r="E389" s="98"/>
      <c r="F389" s="75"/>
      <c r="G389" s="2"/>
      <c r="H389" s="2"/>
      <c r="I389" s="75"/>
      <c r="J389" s="75"/>
      <c r="K389" s="75"/>
      <c r="L389" s="107"/>
      <c r="M389" s="107"/>
      <c r="N389" s="107"/>
      <c r="O389" s="107"/>
      <c r="P389" s="107"/>
      <c r="Q389" s="107"/>
      <c r="R389" s="107"/>
      <c r="S389" s="107"/>
      <c r="T389" s="12"/>
      <c r="U389" s="19"/>
      <c r="V389" s="19"/>
      <c r="W389" s="19"/>
    </row>
    <row r="390" spans="1:23" ht="11.25" customHeight="1">
      <c r="A390" s="59"/>
      <c r="B390" s="59"/>
      <c r="C390" s="59"/>
      <c r="D390" s="75"/>
      <c r="E390" s="36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14"/>
      <c r="U390" s="20"/>
      <c r="V390" s="20"/>
      <c r="W390" s="20"/>
    </row>
    <row r="391" spans="1:23" ht="29.25" customHeight="1">
      <c r="A391" s="254" t="s">
        <v>97</v>
      </c>
      <c r="B391" s="254"/>
      <c r="C391" s="254"/>
      <c r="D391" s="254"/>
      <c r="E391" s="254"/>
      <c r="F391" s="254"/>
      <c r="G391" s="254"/>
      <c r="H391" s="254"/>
      <c r="I391" s="254"/>
      <c r="J391" s="254"/>
      <c r="K391" s="254"/>
      <c r="L391" s="254"/>
      <c r="M391" s="254"/>
      <c r="N391" s="254"/>
      <c r="O391" s="254"/>
      <c r="P391" s="254"/>
      <c r="Q391" s="254"/>
      <c r="R391" s="254"/>
      <c r="S391" s="254"/>
      <c r="T391" s="14"/>
      <c r="U391" s="20"/>
      <c r="V391" s="20"/>
      <c r="W391" s="20"/>
    </row>
    <row r="392" spans="1:23" ht="29.25" customHeight="1">
      <c r="A392" s="60"/>
      <c r="B392" s="60"/>
      <c r="C392" s="60"/>
      <c r="D392" s="4"/>
      <c r="E392" s="99"/>
      <c r="F392" s="4"/>
      <c r="G392" s="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17"/>
      <c r="U392" s="20"/>
      <c r="V392" s="20"/>
      <c r="W392" s="20"/>
    </row>
    <row r="393" spans="1:23" s="92" customFormat="1" ht="13.5" customHeight="1">
      <c r="A393" s="93"/>
      <c r="B393" s="93"/>
      <c r="C393" s="93"/>
      <c r="D393" s="93"/>
      <c r="E393" s="100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4"/>
      <c r="V393" s="91"/>
      <c r="W393" s="91"/>
    </row>
  </sheetData>
  <sheetProtection/>
  <mergeCells count="424">
    <mergeCell ref="A10:S10"/>
    <mergeCell ref="A11:S11"/>
    <mergeCell ref="A12:S12"/>
    <mergeCell ref="B248:C248"/>
    <mergeCell ref="A391:S391"/>
    <mergeCell ref="B104:C104"/>
    <mergeCell ref="B367:C367"/>
    <mergeCell ref="B143:C143"/>
    <mergeCell ref="B29:C29"/>
    <mergeCell ref="B169:C169"/>
    <mergeCell ref="B245:C245"/>
    <mergeCell ref="B140:C140"/>
    <mergeCell ref="B216:C216"/>
    <mergeCell ref="A328:D328"/>
    <mergeCell ref="B323:C323"/>
    <mergeCell ref="B99:C99"/>
    <mergeCell ref="B132:C132"/>
    <mergeCell ref="B257:C257"/>
    <mergeCell ref="B258:C258"/>
    <mergeCell ref="B259:C259"/>
    <mergeCell ref="B320:C320"/>
    <mergeCell ref="B318:C318"/>
    <mergeCell ref="A319:S319"/>
    <mergeCell ref="N316:S316"/>
    <mergeCell ref="L310:S310"/>
    <mergeCell ref="B204:C204"/>
    <mergeCell ref="B208:C208"/>
    <mergeCell ref="B206:C206"/>
    <mergeCell ref="K315:L315"/>
    <mergeCell ref="A308:D308"/>
    <mergeCell ref="A309:D309"/>
    <mergeCell ref="B286:C286"/>
    <mergeCell ref="A299:D299"/>
    <mergeCell ref="A102:D102"/>
    <mergeCell ref="B229:C229"/>
    <mergeCell ref="B321:C321"/>
    <mergeCell ref="I316:M316"/>
    <mergeCell ref="A212:D212"/>
    <mergeCell ref="A225:D225"/>
    <mergeCell ref="A232:D232"/>
    <mergeCell ref="A253:D253"/>
    <mergeCell ref="A264:D264"/>
    <mergeCell ref="B292:C292"/>
    <mergeCell ref="D127:E127"/>
    <mergeCell ref="M315:S315"/>
    <mergeCell ref="B141:C141"/>
    <mergeCell ref="K13:L13"/>
    <mergeCell ref="D14:E14"/>
    <mergeCell ref="K14:L14"/>
    <mergeCell ref="B56:C56"/>
    <mergeCell ref="A57:S57"/>
    <mergeCell ref="L50:S50"/>
    <mergeCell ref="H54:H55"/>
    <mergeCell ref="B96:C96"/>
    <mergeCell ref="A47:D47"/>
    <mergeCell ref="A83:D83"/>
    <mergeCell ref="A84:D84"/>
    <mergeCell ref="B68:C68"/>
    <mergeCell ref="A51:S51"/>
    <mergeCell ref="A54:A55"/>
    <mergeCell ref="B70:C70"/>
    <mergeCell ref="D15:D16"/>
    <mergeCell ref="D353:E353"/>
    <mergeCell ref="W8:W14"/>
    <mergeCell ref="I15:M15"/>
    <mergeCell ref="L8:S8"/>
    <mergeCell ref="A9:S9"/>
    <mergeCell ref="F13:H13"/>
    <mergeCell ref="B15:C16"/>
    <mergeCell ref="A112:D112"/>
    <mergeCell ref="T8:T14"/>
    <mergeCell ref="U8:U14"/>
    <mergeCell ref="A386:D386"/>
    <mergeCell ref="A385:D385"/>
    <mergeCell ref="A384:D384"/>
    <mergeCell ref="A347:D347"/>
    <mergeCell ref="B287:C287"/>
    <mergeCell ref="D316:D317"/>
    <mergeCell ref="B295:C295"/>
    <mergeCell ref="A313:S313"/>
    <mergeCell ref="B325:C325"/>
    <mergeCell ref="B326:C326"/>
    <mergeCell ref="B322:C322"/>
    <mergeCell ref="A316:A317"/>
    <mergeCell ref="B316:C317"/>
    <mergeCell ref="A306:D306"/>
    <mergeCell ref="B324:C324"/>
    <mergeCell ref="A307:D307"/>
    <mergeCell ref="B291:C291"/>
    <mergeCell ref="B296:C296"/>
    <mergeCell ref="B303:C303"/>
    <mergeCell ref="B304:C304"/>
    <mergeCell ref="B302:C302"/>
    <mergeCell ref="A158:D158"/>
    <mergeCell ref="A162:S162"/>
    <mergeCell ref="F163:H163"/>
    <mergeCell ref="A165:A166"/>
    <mergeCell ref="A177:D177"/>
    <mergeCell ref="L159:S159"/>
    <mergeCell ref="K163:L163"/>
    <mergeCell ref="B167:C167"/>
    <mergeCell ref="M164:S164"/>
    <mergeCell ref="A188:D188"/>
    <mergeCell ref="I165:M165"/>
    <mergeCell ref="N165:S165"/>
    <mergeCell ref="B174:C174"/>
    <mergeCell ref="B175:C175"/>
    <mergeCell ref="A179:S179"/>
    <mergeCell ref="B134:C134"/>
    <mergeCell ref="B146:C146"/>
    <mergeCell ref="A155:D155"/>
    <mergeCell ref="B142:C142"/>
    <mergeCell ref="A150:S150"/>
    <mergeCell ref="B145:C145"/>
    <mergeCell ref="B152:C152"/>
    <mergeCell ref="A139:S139"/>
    <mergeCell ref="B135:C135"/>
    <mergeCell ref="B136:C136"/>
    <mergeCell ref="B58:C58"/>
    <mergeCell ref="B69:C69"/>
    <mergeCell ref="B60:C60"/>
    <mergeCell ref="A138:D138"/>
    <mergeCell ref="A148:D148"/>
    <mergeCell ref="B144:C144"/>
    <mergeCell ref="B79:C79"/>
    <mergeCell ref="B74:C74"/>
    <mergeCell ref="A103:S103"/>
    <mergeCell ref="A114:S114"/>
    <mergeCell ref="B71:C71"/>
    <mergeCell ref="B73:C73"/>
    <mergeCell ref="B72:C72"/>
    <mergeCell ref="A77:S77"/>
    <mergeCell ref="B80:C80"/>
    <mergeCell ref="L86:S86"/>
    <mergeCell ref="A76:D76"/>
    <mergeCell ref="K52:L52"/>
    <mergeCell ref="M53:S53"/>
    <mergeCell ref="N54:S54"/>
    <mergeCell ref="K53:L53"/>
    <mergeCell ref="F52:H52"/>
    <mergeCell ref="A67:S67"/>
    <mergeCell ref="B63:C63"/>
    <mergeCell ref="A65:D65"/>
    <mergeCell ref="I54:M54"/>
    <mergeCell ref="E54:G54"/>
    <mergeCell ref="B20:C20"/>
    <mergeCell ref="B42:C42"/>
    <mergeCell ref="B43:C43"/>
    <mergeCell ref="A28:S28"/>
    <mergeCell ref="B19:C19"/>
    <mergeCell ref="B21:C21"/>
    <mergeCell ref="B33:C33"/>
    <mergeCell ref="B34:C34"/>
    <mergeCell ref="B36:C36"/>
    <mergeCell ref="A40:S40"/>
    <mergeCell ref="M14:S14"/>
    <mergeCell ref="N15:S15"/>
    <mergeCell ref="B30:C30"/>
    <mergeCell ref="A18:S18"/>
    <mergeCell ref="E15:G15"/>
    <mergeCell ref="H15:H16"/>
    <mergeCell ref="B17:C17"/>
    <mergeCell ref="A15:A16"/>
    <mergeCell ref="B22:C22"/>
    <mergeCell ref="A25:D25"/>
    <mergeCell ref="B35:C35"/>
    <mergeCell ref="A38:D38"/>
    <mergeCell ref="B62:C62"/>
    <mergeCell ref="B61:C61"/>
    <mergeCell ref="B54:C55"/>
    <mergeCell ref="D54:D55"/>
    <mergeCell ref="A48:D48"/>
    <mergeCell ref="A46:D46"/>
    <mergeCell ref="D53:E53"/>
    <mergeCell ref="B59:C59"/>
    <mergeCell ref="A82:D82"/>
    <mergeCell ref="A85:D85"/>
    <mergeCell ref="D91:E91"/>
    <mergeCell ref="K91:L91"/>
    <mergeCell ref="A89:S89"/>
    <mergeCell ref="M91:S91"/>
    <mergeCell ref="N92:S92"/>
    <mergeCell ref="B92:C93"/>
    <mergeCell ref="E92:G92"/>
    <mergeCell ref="H92:H93"/>
    <mergeCell ref="I92:M92"/>
    <mergeCell ref="F90:H90"/>
    <mergeCell ref="K90:L90"/>
    <mergeCell ref="B108:C108"/>
    <mergeCell ref="B109:C109"/>
    <mergeCell ref="B94:C94"/>
    <mergeCell ref="D92:D93"/>
    <mergeCell ref="A95:S95"/>
    <mergeCell ref="B110:C110"/>
    <mergeCell ref="B105:C105"/>
    <mergeCell ref="B106:C106"/>
    <mergeCell ref="B107:C107"/>
    <mergeCell ref="A92:A93"/>
    <mergeCell ref="A119:D119"/>
    <mergeCell ref="B115:C115"/>
    <mergeCell ref="A125:S125"/>
    <mergeCell ref="F126:H126"/>
    <mergeCell ref="K126:L126"/>
    <mergeCell ref="B117:C117"/>
    <mergeCell ref="L123:S123"/>
    <mergeCell ref="A120:D120"/>
    <mergeCell ref="A121:D121"/>
    <mergeCell ref="A122:D122"/>
    <mergeCell ref="K127:L127"/>
    <mergeCell ref="M127:S127"/>
    <mergeCell ref="B130:C130"/>
    <mergeCell ref="A131:S131"/>
    <mergeCell ref="H128:H129"/>
    <mergeCell ref="N128:S128"/>
    <mergeCell ref="A128:A129"/>
    <mergeCell ref="B128:C129"/>
    <mergeCell ref="D128:D129"/>
    <mergeCell ref="E128:G128"/>
    <mergeCell ref="I128:M128"/>
    <mergeCell ref="D164:E164"/>
    <mergeCell ref="K164:L164"/>
    <mergeCell ref="B165:C166"/>
    <mergeCell ref="D165:D166"/>
    <mergeCell ref="H165:H166"/>
    <mergeCell ref="E165:G165"/>
    <mergeCell ref="A157:D157"/>
    <mergeCell ref="B153:C153"/>
    <mergeCell ref="A156:D156"/>
    <mergeCell ref="B180:C180"/>
    <mergeCell ref="A168:S168"/>
    <mergeCell ref="B171:C171"/>
    <mergeCell ref="B172:C172"/>
    <mergeCell ref="B170:C170"/>
    <mergeCell ref="B182:C182"/>
    <mergeCell ref="B181:C181"/>
    <mergeCell ref="B183:C183"/>
    <mergeCell ref="B184:C184"/>
    <mergeCell ref="B186:C186"/>
    <mergeCell ref="A270:D270"/>
    <mergeCell ref="A189:S189"/>
    <mergeCell ref="B190:C190"/>
    <mergeCell ref="B185:C185"/>
    <mergeCell ref="B191:C191"/>
    <mergeCell ref="L198:S198"/>
    <mergeCell ref="A194:D194"/>
    <mergeCell ref="H202:H203"/>
    <mergeCell ref="B207:C207"/>
    <mergeCell ref="A195:D195"/>
    <mergeCell ref="A196:D196"/>
    <mergeCell ref="A193:D193"/>
    <mergeCell ref="A199:S199"/>
    <mergeCell ref="I202:M202"/>
    <mergeCell ref="M200:P200"/>
    <mergeCell ref="F200:H200"/>
    <mergeCell ref="K200:L200"/>
    <mergeCell ref="A233:D233"/>
    <mergeCell ref="A234:D234"/>
    <mergeCell ref="B209:C209"/>
    <mergeCell ref="K201:L201"/>
    <mergeCell ref="M201:S201"/>
    <mergeCell ref="A202:A203"/>
    <mergeCell ref="B202:C203"/>
    <mergeCell ref="D202:D203"/>
    <mergeCell ref="D201:E201"/>
    <mergeCell ref="E202:G202"/>
    <mergeCell ref="K240:L240"/>
    <mergeCell ref="M239:P239"/>
    <mergeCell ref="L237:S237"/>
    <mergeCell ref="A215:S215"/>
    <mergeCell ref="B220:C220"/>
    <mergeCell ref="B221:C221"/>
    <mergeCell ref="B223:C223"/>
    <mergeCell ref="B222:C222"/>
    <mergeCell ref="A235:D235"/>
    <mergeCell ref="A227:S227"/>
    <mergeCell ref="E241:G241"/>
    <mergeCell ref="H241:H242"/>
    <mergeCell ref="I241:M241"/>
    <mergeCell ref="M240:S240"/>
    <mergeCell ref="A238:S238"/>
    <mergeCell ref="B217:C217"/>
    <mergeCell ref="B218:C218"/>
    <mergeCell ref="F239:H239"/>
    <mergeCell ref="K239:L239"/>
    <mergeCell ref="D240:E240"/>
    <mergeCell ref="A265:S265"/>
    <mergeCell ref="D278:E278"/>
    <mergeCell ref="A244:S244"/>
    <mergeCell ref="B247:C247"/>
    <mergeCell ref="B249:C249"/>
    <mergeCell ref="B246:C246"/>
    <mergeCell ref="B260:C260"/>
    <mergeCell ref="B267:C267"/>
    <mergeCell ref="B250:C250"/>
    <mergeCell ref="B251:C251"/>
    <mergeCell ref="B262:C262"/>
    <mergeCell ref="A365:D365"/>
    <mergeCell ref="D279:D280"/>
    <mergeCell ref="D315:E315"/>
    <mergeCell ref="B294:C294"/>
    <mergeCell ref="A276:S276"/>
    <mergeCell ref="A289:D289"/>
    <mergeCell ref="B268:C268"/>
    <mergeCell ref="F277:H277"/>
    <mergeCell ref="A273:D273"/>
    <mergeCell ref="A271:D271"/>
    <mergeCell ref="A272:D272"/>
    <mergeCell ref="H279:H280"/>
    <mergeCell ref="I279:M279"/>
    <mergeCell ref="B285:C285"/>
    <mergeCell ref="A279:A280"/>
    <mergeCell ref="B279:C280"/>
    <mergeCell ref="M277:P277"/>
    <mergeCell ref="N279:S279"/>
    <mergeCell ref="B283:C283"/>
    <mergeCell ref="B284:C284"/>
    <mergeCell ref="M352:P352"/>
    <mergeCell ref="B97:C97"/>
    <mergeCell ref="B98:C98"/>
    <mergeCell ref="B100:C100"/>
    <mergeCell ref="H316:H317"/>
    <mergeCell ref="B293:C293"/>
    <mergeCell ref="E316:G316"/>
    <mergeCell ref="B297:C297"/>
    <mergeCell ref="A301:S301"/>
    <mergeCell ref="A290:S290"/>
    <mergeCell ref="A351:S351"/>
    <mergeCell ref="F352:H352"/>
    <mergeCell ref="B342:C342"/>
    <mergeCell ref="A330:S330"/>
    <mergeCell ref="B335:C335"/>
    <mergeCell ref="B336:C336"/>
    <mergeCell ref="B333:C333"/>
    <mergeCell ref="B334:C334"/>
    <mergeCell ref="B332:C332"/>
    <mergeCell ref="A345:D345"/>
    <mergeCell ref="B337:C337"/>
    <mergeCell ref="A340:S340"/>
    <mergeCell ref="B341:C341"/>
    <mergeCell ref="A346:D346"/>
    <mergeCell ref="A339:D339"/>
    <mergeCell ref="B372:C372"/>
    <mergeCell ref="B370:C370"/>
    <mergeCell ref="B371:C371"/>
    <mergeCell ref="A357:S357"/>
    <mergeCell ref="B369:C369"/>
    <mergeCell ref="H354:H355"/>
    <mergeCell ref="B362:C362"/>
    <mergeCell ref="A366:S366"/>
    <mergeCell ref="B363:C363"/>
    <mergeCell ref="B356:C356"/>
    <mergeCell ref="B374:C374"/>
    <mergeCell ref="A378:S378"/>
    <mergeCell ref="B379:C379"/>
    <mergeCell ref="B380:C380"/>
    <mergeCell ref="A376:D376"/>
    <mergeCell ref="A383:D383"/>
    <mergeCell ref="B381:C381"/>
    <mergeCell ref="L387:S387"/>
    <mergeCell ref="B373:C373"/>
    <mergeCell ref="F314:H314"/>
    <mergeCell ref="K314:L314"/>
    <mergeCell ref="B358:C358"/>
    <mergeCell ref="I354:M354"/>
    <mergeCell ref="M314:P314"/>
    <mergeCell ref="B359:C359"/>
    <mergeCell ref="B360:C360"/>
    <mergeCell ref="B368:C368"/>
    <mergeCell ref="E354:G354"/>
    <mergeCell ref="B261:C261"/>
    <mergeCell ref="K278:L278"/>
    <mergeCell ref="M278:S278"/>
    <mergeCell ref="B281:C281"/>
    <mergeCell ref="A282:S282"/>
    <mergeCell ref="A344:D344"/>
    <mergeCell ref="A354:A355"/>
    <mergeCell ref="B331:C331"/>
    <mergeCell ref="L350:S350"/>
    <mergeCell ref="W21:W23"/>
    <mergeCell ref="U21:U23"/>
    <mergeCell ref="V21:V23"/>
    <mergeCell ref="U229:U231"/>
    <mergeCell ref="V229:V231"/>
    <mergeCell ref="W229:W231"/>
    <mergeCell ref="K277:L277"/>
    <mergeCell ref="N241:S241"/>
    <mergeCell ref="B354:C355"/>
    <mergeCell ref="L275:S275"/>
    <mergeCell ref="E279:G279"/>
    <mergeCell ref="D354:D355"/>
    <mergeCell ref="K353:L353"/>
    <mergeCell ref="M353:S353"/>
    <mergeCell ref="K352:L352"/>
    <mergeCell ref="N354:S354"/>
    <mergeCell ref="B31:C31"/>
    <mergeCell ref="M13:P13"/>
    <mergeCell ref="M52:P52"/>
    <mergeCell ref="M90:P90"/>
    <mergeCell ref="M126:P126"/>
    <mergeCell ref="M163:P163"/>
    <mergeCell ref="B23:C23"/>
    <mergeCell ref="B32:C32"/>
    <mergeCell ref="B133:C133"/>
    <mergeCell ref="A45:D45"/>
    <mergeCell ref="B230:C230"/>
    <mergeCell ref="B219:C219"/>
    <mergeCell ref="B243:C243"/>
    <mergeCell ref="A255:S255"/>
    <mergeCell ref="A205:S205"/>
    <mergeCell ref="N202:S202"/>
    <mergeCell ref="B210:C210"/>
    <mergeCell ref="A241:A242"/>
    <mergeCell ref="B241:C242"/>
    <mergeCell ref="D241:D242"/>
    <mergeCell ref="M1:N1"/>
    <mergeCell ref="B361:C361"/>
    <mergeCell ref="B116:C116"/>
    <mergeCell ref="B41:C41"/>
    <mergeCell ref="B78:C78"/>
    <mergeCell ref="B151:C151"/>
    <mergeCell ref="B173:C173"/>
    <mergeCell ref="B228:C228"/>
    <mergeCell ref="B266:C266"/>
    <mergeCell ref="B256:C2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9" manualBreakCount="9">
    <brk id="49" max="18" man="1"/>
    <brk id="87" max="18" man="1"/>
    <brk id="123" max="18" man="1"/>
    <brk id="160" max="18" man="1"/>
    <brk id="197" max="18" man="1"/>
    <brk id="236" max="18" man="1"/>
    <brk id="274" max="18" man="1"/>
    <brk id="311" max="18" man="1"/>
    <brk id="3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Kaplii</cp:lastModifiedBy>
  <cp:lastPrinted>2022-08-08T07:11:52Z</cp:lastPrinted>
  <dcterms:created xsi:type="dcterms:W3CDTF">2017-06-07T09:01:22Z</dcterms:created>
  <dcterms:modified xsi:type="dcterms:W3CDTF">2022-08-08T12:54:30Z</dcterms:modified>
  <cp:category/>
  <cp:version/>
  <cp:contentType/>
  <cp:contentStatus/>
  <cp:revision>1</cp:revision>
</cp:coreProperties>
</file>